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Stellvertretung\Schönberger\Streichvorschlaege\Versionen im Einsatz\"/>
    </mc:Choice>
  </mc:AlternateContent>
  <xr:revisionPtr revIDLastSave="0" documentId="13_ncr:1_{B44DBC20-B223-4C13-B3FC-AE5FAC8CA44E}" xr6:coauthVersionLast="47" xr6:coauthVersionMax="47" xr10:uidLastSave="{00000000-0000-0000-0000-000000000000}"/>
  <workbookProtection workbookAlgorithmName="SHA-512" workbookHashValue="JA8DGam+6906A9yQLH+z4EpC00l3aoTajF2DizKjMEml/b+O5/ns4dSiHwy8wNxldOOKq6RB/FtvjxnUQVg+Vw==" workbookSaltValue="vtOl7f/vV7XRe/dm2lGHEw==" workbookSpinCount="100000" lockStructure="1"/>
  <bookViews>
    <workbookView xWindow="-120" yWindow="-120" windowWidth="29040" windowHeight="15840" tabRatio="783" xr2:uid="{00000000-000D-0000-FFFF-FFFF00000000}"/>
  </bookViews>
  <sheets>
    <sheet name="Start" sheetId="64" r:id="rId1"/>
    <sheet name="Streichvorschlag" sheetId="54" r:id="rId2"/>
    <sheet name="390_Punkte" sheetId="66" state="hidden" r:id="rId3"/>
    <sheet name="420_Punkte_mE" sheetId="67" state="hidden" r:id="rId4"/>
    <sheet name="Noten" sheetId="68" state="hidden" r:id="rId5"/>
    <sheet name="Dropdownlisten" sheetId="62" state="hidden" r:id="rId6"/>
    <sheet name="WPF" sheetId="63" state="hidden" r:id="rId7"/>
    <sheet name="Punkteliste" sheetId="65" state="hidden" r:id="rId8"/>
  </sheets>
  <definedNames>
    <definedName name="_xlnm.Print_Area" localSheetId="1">Streichvorschlag!$A$1:$DD$73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Z16" i="54" l="1"/>
  <c r="B2" i="54"/>
  <c r="B6" i="63" s="1"/>
  <c r="D2" i="63"/>
  <c r="B2" i="63" l="1"/>
  <c r="N21" i="54"/>
  <c r="N20" i="54"/>
  <c r="FM22" i="54" l="1"/>
  <c r="JE22" i="54"/>
  <c r="DU15" i="54" l="1"/>
  <c r="DT15" i="54" l="1"/>
  <c r="DS15" i="54"/>
  <c r="DP15" i="54"/>
  <c r="KJ15" i="54" l="1"/>
  <c r="KL15" i="54" s="1"/>
  <c r="CZ15" i="54"/>
  <c r="KD17" i="54"/>
  <c r="KD16" i="54"/>
  <c r="KD15" i="54"/>
  <c r="KD11" i="54"/>
  <c r="KD10" i="54"/>
  <c r="KD9" i="54"/>
  <c r="KD8" i="54"/>
  <c r="KD7" i="54"/>
  <c r="CT17" i="54"/>
  <c r="CT16" i="54"/>
  <c r="CT15" i="54"/>
  <c r="CT11" i="54"/>
  <c r="CT10" i="54"/>
  <c r="CT9" i="54"/>
  <c r="CT8" i="54"/>
  <c r="CT7" i="54"/>
  <c r="GR15" i="54"/>
  <c r="KE15" i="54"/>
  <c r="GM15" i="54"/>
  <c r="GL17" i="54"/>
  <c r="GL16" i="54"/>
  <c r="GL15" i="54"/>
  <c r="GL11" i="54"/>
  <c r="GL10" i="54"/>
  <c r="GL9" i="54"/>
  <c r="GL8" i="54"/>
  <c r="GL7" i="54"/>
  <c r="KD27" i="54"/>
  <c r="JT15" i="54"/>
  <c r="JL13" i="54"/>
  <c r="JH13" i="54"/>
  <c r="JH8" i="54"/>
  <c r="JL14" i="54"/>
  <c r="JH14" i="54"/>
  <c r="JL12" i="54"/>
  <c r="JH12" i="54"/>
  <c r="JL11" i="54"/>
  <c r="JH11" i="54"/>
  <c r="JL10" i="54"/>
  <c r="JH10" i="54"/>
  <c r="JL9" i="54"/>
  <c r="JH9" i="54"/>
  <c r="JL8" i="54"/>
  <c r="JH7" i="54"/>
  <c r="FP7" i="54"/>
  <c r="HD15" i="54"/>
  <c r="HF15" i="54"/>
  <c r="FT14" i="54"/>
  <c r="FT13" i="54"/>
  <c r="FT12" i="54"/>
  <c r="FT11" i="54"/>
  <c r="FT10" i="54"/>
  <c r="FT9" i="54"/>
  <c r="FT8" i="54"/>
  <c r="FP14" i="54"/>
  <c r="FP13" i="54"/>
  <c r="FP12" i="54"/>
  <c r="FP11" i="54"/>
  <c r="FP10" i="54"/>
  <c r="FP9" i="54"/>
  <c r="FP8" i="54"/>
  <c r="HK15" i="54" l="1"/>
  <c r="HG15" i="54"/>
  <c r="KO15" i="54"/>
  <c r="KN15" i="54"/>
  <c r="GT15" i="54"/>
  <c r="GW15" i="54" s="1"/>
  <c r="GV15" i="54" l="1"/>
  <c r="CB12" i="54" l="1"/>
  <c r="CB11" i="54"/>
  <c r="CB9" i="54"/>
  <c r="CB8" i="54"/>
  <c r="BY12" i="54"/>
  <c r="BY11" i="54"/>
  <c r="BY9" i="54"/>
  <c r="BY8" i="54"/>
  <c r="AJ12" i="54"/>
  <c r="AJ11" i="54"/>
  <c r="AJ9" i="54"/>
  <c r="AJ8" i="54"/>
  <c r="AG12" i="54"/>
  <c r="AG11" i="54"/>
  <c r="AG9" i="54"/>
  <c r="AG8" i="54"/>
  <c r="DB15" i="54"/>
  <c r="DE15" i="54" s="1"/>
  <c r="C423" i="67"/>
  <c r="C422" i="67"/>
  <c r="C421" i="67"/>
  <c r="C420" i="67"/>
  <c r="C419" i="67"/>
  <c r="C418" i="67"/>
  <c r="C417" i="67"/>
  <c r="C416" i="67"/>
  <c r="C415" i="67"/>
  <c r="C414" i="67"/>
  <c r="C413" i="67"/>
  <c r="C412" i="67"/>
  <c r="C411" i="67"/>
  <c r="C410" i="67"/>
  <c r="C409" i="67"/>
  <c r="C408" i="67"/>
  <c r="C407" i="67"/>
  <c r="C406" i="67"/>
  <c r="C405" i="67"/>
  <c r="C404" i="67"/>
  <c r="C403" i="67"/>
  <c r="C402" i="67"/>
  <c r="C401" i="67"/>
  <c r="C400" i="67"/>
  <c r="C399" i="67"/>
  <c r="C398" i="67"/>
  <c r="C397" i="67"/>
  <c r="C396" i="67"/>
  <c r="C395" i="67"/>
  <c r="C394" i="67"/>
  <c r="C393" i="67"/>
  <c r="C392" i="67"/>
  <c r="C391" i="67"/>
  <c r="C390" i="67"/>
  <c r="C389" i="67"/>
  <c r="C388" i="67"/>
  <c r="C387" i="67"/>
  <c r="C386" i="67"/>
  <c r="C385" i="67"/>
  <c r="C384" i="67"/>
  <c r="C383" i="67"/>
  <c r="C382" i="67"/>
  <c r="C381" i="67"/>
  <c r="C380" i="67"/>
  <c r="C379" i="67"/>
  <c r="C378" i="67"/>
  <c r="C377" i="67"/>
  <c r="C376" i="67"/>
  <c r="C375" i="67"/>
  <c r="C374" i="67"/>
  <c r="C373" i="67"/>
  <c r="C372" i="67"/>
  <c r="C371" i="67"/>
  <c r="C370" i="67"/>
  <c r="C369" i="67"/>
  <c r="C368" i="67"/>
  <c r="C367" i="67"/>
  <c r="C366" i="67"/>
  <c r="C365" i="67"/>
  <c r="C364" i="67"/>
  <c r="C363" i="67"/>
  <c r="C362" i="67"/>
  <c r="C361" i="67"/>
  <c r="C360" i="67"/>
  <c r="C359" i="67"/>
  <c r="C358" i="67"/>
  <c r="C357" i="67"/>
  <c r="C356" i="67"/>
  <c r="C355" i="67"/>
  <c r="C354" i="67"/>
  <c r="C353" i="67"/>
  <c r="C352" i="67"/>
  <c r="C351" i="67"/>
  <c r="C350" i="67"/>
  <c r="C349" i="67"/>
  <c r="C348" i="67"/>
  <c r="C347" i="67"/>
  <c r="C346" i="67"/>
  <c r="C345" i="67"/>
  <c r="C344" i="67"/>
  <c r="C343" i="67"/>
  <c r="C342" i="67"/>
  <c r="C341" i="67"/>
  <c r="C340" i="67"/>
  <c r="C339" i="67"/>
  <c r="C338" i="67"/>
  <c r="C337" i="67"/>
  <c r="C336" i="67"/>
  <c r="C335" i="67"/>
  <c r="C334" i="67"/>
  <c r="C333" i="67"/>
  <c r="C332" i="67"/>
  <c r="C331" i="67"/>
  <c r="C330" i="67"/>
  <c r="C329" i="67"/>
  <c r="C328" i="67"/>
  <c r="C327" i="67"/>
  <c r="C326" i="67"/>
  <c r="C325" i="67"/>
  <c r="C324" i="67"/>
  <c r="C323" i="67"/>
  <c r="C322" i="67"/>
  <c r="C321" i="67"/>
  <c r="C320" i="67"/>
  <c r="C319" i="67"/>
  <c r="C318" i="67"/>
  <c r="C317" i="67"/>
  <c r="C316" i="67"/>
  <c r="C315" i="67"/>
  <c r="C314" i="67"/>
  <c r="C313" i="67"/>
  <c r="C312" i="67"/>
  <c r="C311" i="67"/>
  <c r="C310" i="67"/>
  <c r="C309" i="67"/>
  <c r="C308" i="67"/>
  <c r="C307" i="67"/>
  <c r="C306" i="67"/>
  <c r="C305" i="67"/>
  <c r="C304" i="67"/>
  <c r="C303" i="67"/>
  <c r="C302" i="67"/>
  <c r="C301" i="67"/>
  <c r="C300" i="67"/>
  <c r="C299" i="67"/>
  <c r="C298" i="67"/>
  <c r="C297" i="67"/>
  <c r="C296" i="67"/>
  <c r="C295" i="67"/>
  <c r="C294" i="67"/>
  <c r="C293" i="67"/>
  <c r="C292" i="67"/>
  <c r="C291" i="67"/>
  <c r="C290" i="67"/>
  <c r="C289" i="67"/>
  <c r="C288" i="67"/>
  <c r="C287" i="67"/>
  <c r="C286" i="67"/>
  <c r="C285" i="67"/>
  <c r="C284" i="67"/>
  <c r="C283" i="67"/>
  <c r="C282" i="67"/>
  <c r="C281" i="67"/>
  <c r="C280" i="67"/>
  <c r="C279" i="67"/>
  <c r="C278" i="67"/>
  <c r="C277" i="67"/>
  <c r="C276" i="67"/>
  <c r="C275" i="67"/>
  <c r="C274" i="67"/>
  <c r="C273" i="67"/>
  <c r="C272" i="67"/>
  <c r="C271" i="67"/>
  <c r="C270" i="67"/>
  <c r="C269" i="67"/>
  <c r="C268" i="67"/>
  <c r="C267" i="67"/>
  <c r="C266" i="67"/>
  <c r="C265" i="67"/>
  <c r="C264" i="67"/>
  <c r="C263" i="67"/>
  <c r="C262" i="67"/>
  <c r="C261" i="67"/>
  <c r="C260" i="67"/>
  <c r="C259" i="67"/>
  <c r="C258" i="67"/>
  <c r="C257" i="67"/>
  <c r="C256" i="67"/>
  <c r="C255" i="67"/>
  <c r="C254" i="67"/>
  <c r="C253" i="67"/>
  <c r="C252" i="67"/>
  <c r="C251" i="67"/>
  <c r="C250" i="67"/>
  <c r="C249" i="67"/>
  <c r="C248" i="67"/>
  <c r="C247" i="67"/>
  <c r="C246" i="67"/>
  <c r="C245" i="67"/>
  <c r="C244" i="67"/>
  <c r="C243" i="67"/>
  <c r="C242" i="67"/>
  <c r="C241" i="67"/>
  <c r="C240" i="67"/>
  <c r="C239" i="67"/>
  <c r="C238" i="67"/>
  <c r="C237" i="67"/>
  <c r="C236" i="67"/>
  <c r="C235" i="67"/>
  <c r="C234" i="67"/>
  <c r="C233" i="67"/>
  <c r="C232" i="67"/>
  <c r="C231" i="67"/>
  <c r="C230" i="67"/>
  <c r="C229" i="67"/>
  <c r="C228" i="67"/>
  <c r="C227" i="67"/>
  <c r="C226" i="67"/>
  <c r="C225" i="67"/>
  <c r="C224" i="67"/>
  <c r="C223" i="67"/>
  <c r="C222" i="67"/>
  <c r="C221" i="67"/>
  <c r="C220" i="67"/>
  <c r="C219" i="67"/>
  <c r="C218" i="67"/>
  <c r="C217" i="67"/>
  <c r="C216" i="67"/>
  <c r="C215" i="67"/>
  <c r="C214" i="67"/>
  <c r="C213" i="67"/>
  <c r="C212" i="67"/>
  <c r="C211" i="67"/>
  <c r="C210" i="67"/>
  <c r="C209" i="67"/>
  <c r="C208" i="67"/>
  <c r="C207" i="67"/>
  <c r="C206" i="67"/>
  <c r="C205" i="67"/>
  <c r="C204" i="67"/>
  <c r="C203" i="67"/>
  <c r="C202" i="67"/>
  <c r="C201" i="67"/>
  <c r="C200" i="67"/>
  <c r="C199" i="67"/>
  <c r="C198" i="67"/>
  <c r="C197" i="67"/>
  <c r="C196" i="67"/>
  <c r="C195" i="67"/>
  <c r="C194" i="67"/>
  <c r="C193" i="67"/>
  <c r="C192" i="67"/>
  <c r="C191" i="67"/>
  <c r="C190" i="67"/>
  <c r="C189" i="67"/>
  <c r="C188" i="67"/>
  <c r="C187" i="67"/>
  <c r="C186" i="67"/>
  <c r="C185" i="67"/>
  <c r="C184" i="67"/>
  <c r="C183" i="67"/>
  <c r="C182" i="67"/>
  <c r="C181" i="67"/>
  <c r="C180" i="67"/>
  <c r="C179" i="67"/>
  <c r="C178" i="67"/>
  <c r="C177" i="67"/>
  <c r="C176" i="67"/>
  <c r="C175" i="67"/>
  <c r="C174" i="67"/>
  <c r="C173" i="67"/>
  <c r="C172" i="67"/>
  <c r="C171" i="67"/>
  <c r="C170" i="67"/>
  <c r="C169" i="67"/>
  <c r="C168" i="67"/>
  <c r="C167" i="67"/>
  <c r="C166" i="67"/>
  <c r="C165" i="67"/>
  <c r="C164" i="67"/>
  <c r="C163" i="67"/>
  <c r="C162" i="67"/>
  <c r="C161" i="67"/>
  <c r="C160" i="67"/>
  <c r="C159" i="67"/>
  <c r="C158" i="67"/>
  <c r="C157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C134" i="67"/>
  <c r="C133" i="67"/>
  <c r="C132" i="67"/>
  <c r="C131" i="67"/>
  <c r="C130" i="67"/>
  <c r="C129" i="67"/>
  <c r="C128" i="67"/>
  <c r="C127" i="67"/>
  <c r="C126" i="67"/>
  <c r="C125" i="67"/>
  <c r="C124" i="67"/>
  <c r="C123" i="67"/>
  <c r="C122" i="67"/>
  <c r="C121" i="67"/>
  <c r="C120" i="67"/>
  <c r="C119" i="67"/>
  <c r="C118" i="67"/>
  <c r="C117" i="67"/>
  <c r="C116" i="67"/>
  <c r="C115" i="67"/>
  <c r="C114" i="67"/>
  <c r="C113" i="67"/>
  <c r="C112" i="67"/>
  <c r="C111" i="67"/>
  <c r="C110" i="67"/>
  <c r="C109" i="67"/>
  <c r="C108" i="67"/>
  <c r="C107" i="67"/>
  <c r="C106" i="67"/>
  <c r="C105" i="67"/>
  <c r="C104" i="67"/>
  <c r="C103" i="67"/>
  <c r="C102" i="67"/>
  <c r="C101" i="67"/>
  <c r="C100" i="67"/>
  <c r="C99" i="67"/>
  <c r="C98" i="67"/>
  <c r="C97" i="67"/>
  <c r="C96" i="67"/>
  <c r="C95" i="67"/>
  <c r="C94" i="67"/>
  <c r="C93" i="67"/>
  <c r="C92" i="67"/>
  <c r="C91" i="67"/>
  <c r="C90" i="67"/>
  <c r="C89" i="67"/>
  <c r="C88" i="67"/>
  <c r="C87" i="67"/>
  <c r="C86" i="67"/>
  <c r="C85" i="67"/>
  <c r="C84" i="67"/>
  <c r="C83" i="67"/>
  <c r="C82" i="67"/>
  <c r="C81" i="67"/>
  <c r="C80" i="67"/>
  <c r="C79" i="67"/>
  <c r="C78" i="67"/>
  <c r="C77" i="67"/>
  <c r="C76" i="67"/>
  <c r="C75" i="67"/>
  <c r="C74" i="67"/>
  <c r="C73" i="67"/>
  <c r="C72" i="67"/>
  <c r="C71" i="67"/>
  <c r="C70" i="67"/>
  <c r="C69" i="67"/>
  <c r="C68" i="67"/>
  <c r="C67" i="67"/>
  <c r="C66" i="67"/>
  <c r="C65" i="67"/>
  <c r="C64" i="67"/>
  <c r="C63" i="67"/>
  <c r="C62" i="67"/>
  <c r="C61" i="67"/>
  <c r="C60" i="67"/>
  <c r="C59" i="67"/>
  <c r="C58" i="67"/>
  <c r="C57" i="67"/>
  <c r="C56" i="67"/>
  <c r="C55" i="67"/>
  <c r="C54" i="67"/>
  <c r="C53" i="67"/>
  <c r="C52" i="67"/>
  <c r="C51" i="67"/>
  <c r="C50" i="67"/>
  <c r="G49" i="67"/>
  <c r="C49" i="67"/>
  <c r="C48" i="67"/>
  <c r="C47" i="67"/>
  <c r="C46" i="67"/>
  <c r="C45" i="67"/>
  <c r="C44" i="67"/>
  <c r="C43" i="67"/>
  <c r="C42" i="67"/>
  <c r="C41" i="67"/>
  <c r="C40" i="67"/>
  <c r="C39" i="67"/>
  <c r="C38" i="67"/>
  <c r="C37" i="67"/>
  <c r="C36" i="67"/>
  <c r="C35" i="67"/>
  <c r="C34" i="67"/>
  <c r="C33" i="67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C9" i="67"/>
  <c r="C8" i="67"/>
  <c r="C7" i="67"/>
  <c r="C6" i="67"/>
  <c r="C5" i="67"/>
  <c r="C4" i="67"/>
  <c r="F13" i="67" s="1"/>
  <c r="G12" i="67" s="1"/>
  <c r="C3" i="67"/>
  <c r="F46" i="67" s="1"/>
  <c r="G45" i="67" s="1"/>
  <c r="C393" i="66"/>
  <c r="C392" i="66"/>
  <c r="C391" i="66"/>
  <c r="C390" i="66"/>
  <c r="C389" i="66"/>
  <c r="C388" i="66"/>
  <c r="C387" i="66"/>
  <c r="C386" i="66"/>
  <c r="C385" i="66"/>
  <c r="C384" i="66"/>
  <c r="C383" i="66"/>
  <c r="C382" i="66"/>
  <c r="C381" i="66"/>
  <c r="C380" i="66"/>
  <c r="C379" i="66"/>
  <c r="C378" i="66"/>
  <c r="C377" i="66"/>
  <c r="C376" i="66"/>
  <c r="C375" i="66"/>
  <c r="C374" i="66"/>
  <c r="C373" i="66"/>
  <c r="C372" i="66"/>
  <c r="C371" i="66"/>
  <c r="C370" i="66"/>
  <c r="C369" i="66"/>
  <c r="C368" i="66"/>
  <c r="C367" i="66"/>
  <c r="C366" i="66"/>
  <c r="C365" i="66"/>
  <c r="C364" i="66"/>
  <c r="C363" i="66"/>
  <c r="C362" i="66"/>
  <c r="C361" i="66"/>
  <c r="C360" i="66"/>
  <c r="C359" i="66"/>
  <c r="C358" i="66"/>
  <c r="C357" i="66"/>
  <c r="C356" i="66"/>
  <c r="C355" i="66"/>
  <c r="C354" i="66"/>
  <c r="C353" i="66"/>
  <c r="C352" i="66"/>
  <c r="C351" i="66"/>
  <c r="C350" i="66"/>
  <c r="C349" i="66"/>
  <c r="C348" i="66"/>
  <c r="C347" i="66"/>
  <c r="C346" i="66"/>
  <c r="C345" i="66"/>
  <c r="C344" i="66"/>
  <c r="C343" i="66"/>
  <c r="C342" i="66"/>
  <c r="C341" i="66"/>
  <c r="C340" i="66"/>
  <c r="C339" i="66"/>
  <c r="C338" i="66"/>
  <c r="C337" i="66"/>
  <c r="C336" i="66"/>
  <c r="C335" i="66"/>
  <c r="C334" i="66"/>
  <c r="C333" i="66"/>
  <c r="C332" i="66"/>
  <c r="C331" i="66"/>
  <c r="C330" i="66"/>
  <c r="C329" i="66"/>
  <c r="C328" i="66"/>
  <c r="C327" i="66"/>
  <c r="C326" i="66"/>
  <c r="C325" i="66"/>
  <c r="C324" i="66"/>
  <c r="C323" i="66"/>
  <c r="C322" i="66"/>
  <c r="C321" i="66"/>
  <c r="C320" i="66"/>
  <c r="C319" i="66"/>
  <c r="C318" i="66"/>
  <c r="C317" i="66"/>
  <c r="C316" i="66"/>
  <c r="C315" i="66"/>
  <c r="C314" i="66"/>
  <c r="C313" i="66"/>
  <c r="C312" i="66"/>
  <c r="C311" i="66"/>
  <c r="C310" i="66"/>
  <c r="C309" i="66"/>
  <c r="C308" i="66"/>
  <c r="C307" i="66"/>
  <c r="C306" i="66"/>
  <c r="C305" i="66"/>
  <c r="C304" i="66"/>
  <c r="C303" i="66"/>
  <c r="C302" i="66"/>
  <c r="C301" i="66"/>
  <c r="C300" i="66"/>
  <c r="C299" i="66"/>
  <c r="C298" i="66"/>
  <c r="C297" i="66"/>
  <c r="C296" i="66"/>
  <c r="C295" i="66"/>
  <c r="C294" i="66"/>
  <c r="C293" i="66"/>
  <c r="C292" i="66"/>
  <c r="C291" i="66"/>
  <c r="C290" i="66"/>
  <c r="C289" i="66"/>
  <c r="C288" i="66"/>
  <c r="C287" i="66"/>
  <c r="C286" i="66"/>
  <c r="C285" i="66"/>
  <c r="C284" i="66"/>
  <c r="C283" i="66"/>
  <c r="C282" i="66"/>
  <c r="C281" i="66"/>
  <c r="C280" i="66"/>
  <c r="C279" i="66"/>
  <c r="C278" i="66"/>
  <c r="C277" i="66"/>
  <c r="C276" i="66"/>
  <c r="C275" i="66"/>
  <c r="C274" i="66"/>
  <c r="C273" i="66"/>
  <c r="C272" i="66"/>
  <c r="C271" i="66"/>
  <c r="C270" i="66"/>
  <c r="C269" i="66"/>
  <c r="C268" i="66"/>
  <c r="C267" i="66"/>
  <c r="C266" i="66"/>
  <c r="C265" i="66"/>
  <c r="C264" i="66"/>
  <c r="C263" i="66"/>
  <c r="C262" i="66"/>
  <c r="C261" i="66"/>
  <c r="C260" i="66"/>
  <c r="C259" i="66"/>
  <c r="C258" i="66"/>
  <c r="C257" i="66"/>
  <c r="C256" i="66"/>
  <c r="C255" i="66"/>
  <c r="C254" i="66"/>
  <c r="C253" i="66"/>
  <c r="C252" i="66"/>
  <c r="C251" i="66"/>
  <c r="C250" i="66"/>
  <c r="C249" i="66"/>
  <c r="C248" i="66"/>
  <c r="C247" i="66"/>
  <c r="C246" i="66"/>
  <c r="C245" i="66"/>
  <c r="C244" i="66"/>
  <c r="C243" i="66"/>
  <c r="C242" i="66"/>
  <c r="C241" i="66"/>
  <c r="C240" i="66"/>
  <c r="C239" i="66"/>
  <c r="C238" i="66"/>
  <c r="C237" i="66"/>
  <c r="C236" i="66"/>
  <c r="C235" i="66"/>
  <c r="C234" i="66"/>
  <c r="C233" i="66"/>
  <c r="C232" i="66"/>
  <c r="C231" i="66"/>
  <c r="C230" i="66"/>
  <c r="C229" i="66"/>
  <c r="C228" i="66"/>
  <c r="C227" i="66"/>
  <c r="C226" i="66"/>
  <c r="C225" i="66"/>
  <c r="C224" i="66"/>
  <c r="C223" i="66"/>
  <c r="C222" i="66"/>
  <c r="C221" i="66"/>
  <c r="C220" i="66"/>
  <c r="C219" i="66"/>
  <c r="C218" i="66"/>
  <c r="C217" i="66"/>
  <c r="C216" i="66"/>
  <c r="C215" i="66"/>
  <c r="C214" i="66"/>
  <c r="C213" i="66"/>
  <c r="C212" i="66"/>
  <c r="C211" i="66"/>
  <c r="C210" i="66"/>
  <c r="C209" i="66"/>
  <c r="C208" i="66"/>
  <c r="C207" i="66"/>
  <c r="C206" i="66"/>
  <c r="C205" i="66"/>
  <c r="C204" i="66"/>
  <c r="C203" i="66"/>
  <c r="C202" i="66"/>
  <c r="C201" i="66"/>
  <c r="C200" i="66"/>
  <c r="C199" i="66"/>
  <c r="C198" i="66"/>
  <c r="C197" i="66"/>
  <c r="C196" i="66"/>
  <c r="C195" i="66"/>
  <c r="C194" i="66"/>
  <c r="C193" i="66"/>
  <c r="C192" i="66"/>
  <c r="C191" i="66"/>
  <c r="C190" i="66"/>
  <c r="C189" i="66"/>
  <c r="C188" i="66"/>
  <c r="C187" i="66"/>
  <c r="C186" i="66"/>
  <c r="C185" i="66"/>
  <c r="C184" i="66"/>
  <c r="C183" i="66"/>
  <c r="C182" i="66"/>
  <c r="C181" i="66"/>
  <c r="C180" i="66"/>
  <c r="C179" i="66"/>
  <c r="C178" i="66"/>
  <c r="C177" i="66"/>
  <c r="C176" i="66"/>
  <c r="C175" i="66"/>
  <c r="C174" i="66"/>
  <c r="C173" i="66"/>
  <c r="C172" i="66"/>
  <c r="C171" i="66"/>
  <c r="C170" i="66"/>
  <c r="C169" i="66"/>
  <c r="C168" i="66"/>
  <c r="C167" i="66"/>
  <c r="C166" i="66"/>
  <c r="C165" i="66"/>
  <c r="C164" i="66"/>
  <c r="C163" i="66"/>
  <c r="C162" i="66"/>
  <c r="C161" i="66"/>
  <c r="C160" i="66"/>
  <c r="C159" i="66"/>
  <c r="C158" i="66"/>
  <c r="C157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C134" i="66"/>
  <c r="C133" i="66"/>
  <c r="C132" i="66"/>
  <c r="C131" i="66"/>
  <c r="C130" i="66"/>
  <c r="C129" i="66"/>
  <c r="C128" i="66"/>
  <c r="C127" i="66"/>
  <c r="C126" i="66"/>
  <c r="C125" i="66"/>
  <c r="C124" i="66"/>
  <c r="C123" i="66"/>
  <c r="C122" i="66"/>
  <c r="C121" i="66"/>
  <c r="C120" i="66"/>
  <c r="C119" i="66"/>
  <c r="C118" i="66"/>
  <c r="C117" i="66"/>
  <c r="C116" i="66"/>
  <c r="C115" i="66"/>
  <c r="C114" i="66"/>
  <c r="C113" i="66"/>
  <c r="C112" i="66"/>
  <c r="C111" i="66"/>
  <c r="C110" i="66"/>
  <c r="C109" i="66"/>
  <c r="C108" i="66"/>
  <c r="C107" i="66"/>
  <c r="C106" i="66"/>
  <c r="C105" i="66"/>
  <c r="C104" i="66"/>
  <c r="C103" i="66"/>
  <c r="C102" i="66"/>
  <c r="C101" i="66"/>
  <c r="C100" i="66"/>
  <c r="C99" i="66"/>
  <c r="C98" i="66"/>
  <c r="C97" i="66"/>
  <c r="C96" i="66"/>
  <c r="C95" i="66"/>
  <c r="C94" i="66"/>
  <c r="C93" i="66"/>
  <c r="C92" i="66"/>
  <c r="C91" i="66"/>
  <c r="C90" i="66"/>
  <c r="C89" i="66"/>
  <c r="C88" i="66"/>
  <c r="C87" i="66"/>
  <c r="C86" i="66"/>
  <c r="C85" i="66"/>
  <c r="C84" i="66"/>
  <c r="C83" i="66"/>
  <c r="C82" i="66"/>
  <c r="C81" i="66"/>
  <c r="C80" i="66"/>
  <c r="C79" i="66"/>
  <c r="C78" i="66"/>
  <c r="C77" i="66"/>
  <c r="C76" i="66"/>
  <c r="C75" i="66"/>
  <c r="C74" i="66"/>
  <c r="C73" i="66"/>
  <c r="C72" i="66"/>
  <c r="C71" i="66"/>
  <c r="C70" i="66"/>
  <c r="C69" i="66"/>
  <c r="C68" i="66"/>
  <c r="C67" i="66"/>
  <c r="C66" i="66"/>
  <c r="C65" i="66"/>
  <c r="C64" i="66"/>
  <c r="C63" i="66"/>
  <c r="C62" i="66"/>
  <c r="C61" i="66"/>
  <c r="C60" i="66"/>
  <c r="C59" i="66"/>
  <c r="C58" i="66"/>
  <c r="C57" i="66"/>
  <c r="C56" i="66"/>
  <c r="C55" i="66"/>
  <c r="C54" i="66"/>
  <c r="C53" i="66"/>
  <c r="C52" i="66"/>
  <c r="C51" i="66"/>
  <c r="C50" i="66"/>
  <c r="G49" i="66"/>
  <c r="C49" i="66"/>
  <c r="C48" i="66"/>
  <c r="C47" i="66"/>
  <c r="C46" i="66"/>
  <c r="C45" i="66"/>
  <c r="C44" i="66"/>
  <c r="C43" i="66"/>
  <c r="C42" i="66"/>
  <c r="C41" i="66"/>
  <c r="C40" i="66"/>
  <c r="C39" i="66"/>
  <c r="C38" i="66"/>
  <c r="C37" i="66"/>
  <c r="C36" i="66"/>
  <c r="C35" i="66"/>
  <c r="C34" i="66"/>
  <c r="C33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C9" i="66"/>
  <c r="C8" i="66"/>
  <c r="F7" i="66"/>
  <c r="G6" i="66" s="1"/>
  <c r="C7" i="66"/>
  <c r="C6" i="66"/>
  <c r="F43" i="66" s="1"/>
  <c r="G42" i="66" s="1"/>
  <c r="C5" i="66"/>
  <c r="C4" i="66"/>
  <c r="F3" i="66"/>
  <c r="C3" i="66"/>
  <c r="F48" i="66" s="1"/>
  <c r="G47" i="66" s="1"/>
  <c r="DD15" i="54" l="1"/>
  <c r="F21" i="67"/>
  <c r="G20" i="67" s="1"/>
  <c r="F33" i="67"/>
  <c r="G32" i="67" s="1"/>
  <c r="F37" i="67"/>
  <c r="G36" i="67" s="1"/>
  <c r="F41" i="67"/>
  <c r="G40" i="67" s="1"/>
  <c r="F49" i="67"/>
  <c r="G48" i="67" s="1"/>
  <c r="F4" i="67"/>
  <c r="G3" i="67" s="1"/>
  <c r="F8" i="67"/>
  <c r="G7" i="67" s="1"/>
  <c r="F12" i="67"/>
  <c r="G11" i="67" s="1"/>
  <c r="F16" i="67"/>
  <c r="G15" i="67" s="1"/>
  <c r="F20" i="67"/>
  <c r="G19" i="67" s="1"/>
  <c r="F24" i="67"/>
  <c r="G23" i="67" s="1"/>
  <c r="F28" i="67"/>
  <c r="G27" i="67" s="1"/>
  <c r="F32" i="67"/>
  <c r="G31" i="67" s="1"/>
  <c r="F36" i="67"/>
  <c r="G35" i="67" s="1"/>
  <c r="F40" i="67"/>
  <c r="G39" i="67" s="1"/>
  <c r="F44" i="67"/>
  <c r="G43" i="67" s="1"/>
  <c r="F48" i="67"/>
  <c r="G47" i="67" s="1"/>
  <c r="F9" i="67"/>
  <c r="G8" i="67" s="1"/>
  <c r="F17" i="67"/>
  <c r="G16" i="67" s="1"/>
  <c r="F25" i="67"/>
  <c r="G24" i="67" s="1"/>
  <c r="F29" i="67"/>
  <c r="G28" i="67" s="1"/>
  <c r="F45" i="67"/>
  <c r="G44" i="67" s="1"/>
  <c r="F3" i="67"/>
  <c r="F7" i="67"/>
  <c r="G6" i="67" s="1"/>
  <c r="F11" i="67"/>
  <c r="G10" i="67" s="1"/>
  <c r="F15" i="67"/>
  <c r="G14" i="67" s="1"/>
  <c r="F19" i="67"/>
  <c r="G18" i="67" s="1"/>
  <c r="F23" i="67"/>
  <c r="G22" i="67" s="1"/>
  <c r="F27" i="67"/>
  <c r="G26" i="67" s="1"/>
  <c r="F31" i="67"/>
  <c r="G30" i="67" s="1"/>
  <c r="F35" i="67"/>
  <c r="G34" i="67" s="1"/>
  <c r="F39" i="67"/>
  <c r="G38" i="67" s="1"/>
  <c r="F43" i="67"/>
  <c r="G42" i="67" s="1"/>
  <c r="F47" i="67"/>
  <c r="G46" i="67" s="1"/>
  <c r="F5" i="67"/>
  <c r="G4" i="67" s="1"/>
  <c r="F6" i="67"/>
  <c r="G5" i="67" s="1"/>
  <c r="F10" i="67"/>
  <c r="G9" i="67" s="1"/>
  <c r="F14" i="67"/>
  <c r="G13" i="67" s="1"/>
  <c r="F18" i="67"/>
  <c r="G17" i="67" s="1"/>
  <c r="F22" i="67"/>
  <c r="G21" i="67" s="1"/>
  <c r="F26" i="67"/>
  <c r="G25" i="67" s="1"/>
  <c r="F30" i="67"/>
  <c r="G29" i="67" s="1"/>
  <c r="F34" i="67"/>
  <c r="G33" i="67" s="1"/>
  <c r="F38" i="67"/>
  <c r="G37" i="67" s="1"/>
  <c r="F42" i="67"/>
  <c r="G41" i="67" s="1"/>
  <c r="F11" i="66"/>
  <c r="G10" i="66" s="1"/>
  <c r="F19" i="66"/>
  <c r="G18" i="66" s="1"/>
  <c r="F27" i="66"/>
  <c r="G26" i="66" s="1"/>
  <c r="F31" i="66"/>
  <c r="G30" i="66" s="1"/>
  <c r="F47" i="66"/>
  <c r="G46" i="66" s="1"/>
  <c r="F6" i="66"/>
  <c r="G5" i="66" s="1"/>
  <c r="F10" i="66"/>
  <c r="G9" i="66" s="1"/>
  <c r="F14" i="66"/>
  <c r="G13" i="66" s="1"/>
  <c r="F18" i="66"/>
  <c r="G17" i="66" s="1"/>
  <c r="F22" i="66"/>
  <c r="G21" i="66" s="1"/>
  <c r="F26" i="66"/>
  <c r="G25" i="66" s="1"/>
  <c r="F30" i="66"/>
  <c r="G29" i="66" s="1"/>
  <c r="F34" i="66"/>
  <c r="G33" i="66" s="1"/>
  <c r="F38" i="66"/>
  <c r="G37" i="66" s="1"/>
  <c r="F42" i="66"/>
  <c r="G41" i="66" s="1"/>
  <c r="F46" i="66"/>
  <c r="G45" i="66" s="1"/>
  <c r="F23" i="66"/>
  <c r="G22" i="66" s="1"/>
  <c r="F35" i="66"/>
  <c r="G34" i="66" s="1"/>
  <c r="F5" i="66"/>
  <c r="G4" i="66" s="1"/>
  <c r="F9" i="66"/>
  <c r="G8" i="66" s="1"/>
  <c r="F13" i="66"/>
  <c r="G12" i="66" s="1"/>
  <c r="F17" i="66"/>
  <c r="G16" i="66" s="1"/>
  <c r="F21" i="66"/>
  <c r="G20" i="66" s="1"/>
  <c r="F25" i="66"/>
  <c r="G24" i="66" s="1"/>
  <c r="F29" i="66"/>
  <c r="G28" i="66" s="1"/>
  <c r="F33" i="66"/>
  <c r="G32" i="66" s="1"/>
  <c r="F37" i="66"/>
  <c r="G36" i="66" s="1"/>
  <c r="F41" i="66"/>
  <c r="G40" i="66" s="1"/>
  <c r="F45" i="66"/>
  <c r="G44" i="66" s="1"/>
  <c r="F49" i="66"/>
  <c r="G48" i="66" s="1"/>
  <c r="F15" i="66"/>
  <c r="G14" i="66" s="1"/>
  <c r="F39" i="66"/>
  <c r="G38" i="66" s="1"/>
  <c r="F4" i="66"/>
  <c r="G3" i="66" s="1"/>
  <c r="F8" i="66"/>
  <c r="G7" i="66" s="1"/>
  <c r="F12" i="66"/>
  <c r="G11" i="66" s="1"/>
  <c r="F16" i="66"/>
  <c r="G15" i="66" s="1"/>
  <c r="F20" i="66"/>
  <c r="G19" i="66" s="1"/>
  <c r="F24" i="66"/>
  <c r="G23" i="66" s="1"/>
  <c r="F28" i="66"/>
  <c r="G27" i="66" s="1"/>
  <c r="F32" i="66"/>
  <c r="G31" i="66" s="1"/>
  <c r="F36" i="66"/>
  <c r="G35" i="66" s="1"/>
  <c r="F40" i="66"/>
  <c r="G39" i="66" s="1"/>
  <c r="F44" i="66"/>
  <c r="G43" i="66" s="1"/>
  <c r="BH15" i="54"/>
  <c r="BJ15" i="54" l="1"/>
  <c r="BM15" i="54" s="1"/>
  <c r="BL15" i="54" l="1"/>
  <c r="G14" i="54" l="1"/>
  <c r="I12" i="54"/>
  <c r="J12" i="54" s="1"/>
  <c r="I11" i="54"/>
  <c r="J11" i="54" s="1"/>
  <c r="I9" i="54"/>
  <c r="J9" i="54" s="1"/>
  <c r="I8" i="54"/>
  <c r="J8" i="54" s="1"/>
  <c r="B26" i="54"/>
  <c r="B2" i="62"/>
  <c r="GP12" i="54" l="1"/>
  <c r="KH12" i="54"/>
  <c r="BF12" i="54"/>
  <c r="CX12" i="54"/>
  <c r="CX11" i="54"/>
  <c r="KH11" i="54"/>
  <c r="GP11" i="54"/>
  <c r="BF11" i="54"/>
  <c r="KH9" i="54"/>
  <c r="GP9" i="54"/>
  <c r="BF9" i="54"/>
  <c r="CX9" i="54"/>
  <c r="CX8" i="54"/>
  <c r="GP8" i="54"/>
  <c r="KH8" i="54"/>
  <c r="BF8" i="54"/>
  <c r="K8" i="54"/>
  <c r="K12" i="54"/>
  <c r="O12" i="54"/>
  <c r="K11" i="54"/>
  <c r="O11" i="54"/>
  <c r="K9" i="54"/>
  <c r="O9" i="54"/>
  <c r="O8" i="54"/>
  <c r="CU15" i="54"/>
  <c r="AF25" i="54" l="1"/>
  <c r="K13" i="54"/>
  <c r="K15" i="54" s="1"/>
  <c r="B27" i="54"/>
  <c r="B21" i="54"/>
  <c r="BC15" i="54"/>
  <c r="B25" i="54" l="1"/>
  <c r="B24" i="54"/>
  <c r="Q22" i="54" l="1"/>
  <c r="N16" i="54" l="1"/>
  <c r="N17" i="54"/>
  <c r="M17" i="54"/>
  <c r="M16" i="54"/>
  <c r="M15" i="54"/>
  <c r="AF24" i="54" s="1"/>
  <c r="N14" i="54"/>
  <c r="M14" i="54"/>
  <c r="N13" i="54"/>
  <c r="M13" i="54"/>
  <c r="N12" i="54"/>
  <c r="M12" i="54"/>
  <c r="N11" i="54"/>
  <c r="M11" i="54"/>
  <c r="N10" i="54"/>
  <c r="M10" i="54"/>
  <c r="N9" i="54"/>
  <c r="M9" i="54"/>
  <c r="N8" i="54"/>
  <c r="M8" i="54"/>
  <c r="N7" i="54"/>
  <c r="M7" i="54"/>
  <c r="JT17" i="54" l="1"/>
  <c r="GB17" i="54"/>
  <c r="GA17" i="54"/>
  <c r="JS17" i="54"/>
  <c r="AF23" i="54"/>
  <c r="N19" i="54"/>
  <c r="BQ12" i="54"/>
  <c r="T12" i="54"/>
  <c r="S12" i="54"/>
  <c r="BR12" i="54"/>
  <c r="S11" i="54"/>
  <c r="BR11" i="54"/>
  <c r="T11" i="54"/>
  <c r="BQ11" i="54"/>
  <c r="BR9" i="54"/>
  <c r="BQ9" i="54"/>
  <c r="S9" i="54"/>
  <c r="T9" i="54"/>
  <c r="BQ8" i="54"/>
  <c r="S8" i="54"/>
  <c r="BR8" i="54"/>
  <c r="T8" i="54"/>
  <c r="JT11" i="54"/>
  <c r="GB10" i="54"/>
  <c r="JT10" i="54"/>
  <c r="JS7" i="54"/>
  <c r="GA9" i="54"/>
  <c r="JS9" i="54"/>
  <c r="JS11" i="54"/>
  <c r="GA13" i="54"/>
  <c r="JS13" i="54"/>
  <c r="GB16" i="54"/>
  <c r="JT16" i="54"/>
  <c r="GB13" i="54"/>
  <c r="JT13" i="54"/>
  <c r="GA16" i="54"/>
  <c r="JS16" i="54"/>
  <c r="GB8" i="54"/>
  <c r="JT8" i="54"/>
  <c r="GB12" i="54"/>
  <c r="JT12" i="54"/>
  <c r="GB14" i="54"/>
  <c r="JT14" i="54"/>
  <c r="GB7" i="54"/>
  <c r="JT7" i="54"/>
  <c r="GB9" i="54"/>
  <c r="JT9" i="54"/>
  <c r="JS8" i="54"/>
  <c r="JS10" i="54"/>
  <c r="JS12" i="54"/>
  <c r="JS14" i="54"/>
  <c r="GA7" i="54"/>
  <c r="BQ7" i="54"/>
  <c r="BU7" i="54" s="1"/>
  <c r="GA11" i="54"/>
  <c r="BS11" i="54"/>
  <c r="BT11" i="54"/>
  <c r="GB11" i="54"/>
  <c r="GA8" i="54"/>
  <c r="BS8" i="54"/>
  <c r="BT8" i="54"/>
  <c r="GA10" i="54"/>
  <c r="GA12" i="54"/>
  <c r="BS12" i="54"/>
  <c r="BT12" i="54"/>
  <c r="GA14" i="54"/>
  <c r="BT9" i="54"/>
  <c r="BS9" i="54"/>
  <c r="V9" i="54"/>
  <c r="U9" i="54"/>
  <c r="V11" i="54"/>
  <c r="U11" i="54"/>
  <c r="BP13" i="54"/>
  <c r="V8" i="54"/>
  <c r="U8" i="54"/>
  <c r="V12" i="54"/>
  <c r="U12" i="54"/>
  <c r="BP9" i="54"/>
  <c r="BQ14" i="54"/>
  <c r="BU14" i="54" s="1"/>
  <c r="CJ10" i="54"/>
  <c r="AR10" i="54"/>
  <c r="BQ10" i="54"/>
  <c r="BU10" i="54" s="1"/>
  <c r="R10" i="54"/>
  <c r="AA10" i="54" s="1"/>
  <c r="AR7" i="54"/>
  <c r="CJ7" i="54"/>
  <c r="CJ8" i="54"/>
  <c r="AR8" i="54"/>
  <c r="R9" i="54"/>
  <c r="AA9" i="54" s="1"/>
  <c r="AR9" i="54"/>
  <c r="CJ9" i="54"/>
  <c r="CJ11" i="54"/>
  <c r="AR11" i="54"/>
  <c r="AR12" i="54"/>
  <c r="CJ12" i="54"/>
  <c r="AR13" i="54"/>
  <c r="CJ13" i="54"/>
  <c r="AR14" i="54"/>
  <c r="CJ14" i="54"/>
  <c r="R14" i="54"/>
  <c r="AA14" i="54" s="1"/>
  <c r="BR14" i="54"/>
  <c r="BV14" i="54" s="1"/>
  <c r="GZ14" i="54" s="1"/>
  <c r="HB14" i="54" s="1"/>
  <c r="S14" i="54"/>
  <c r="W14" i="54" s="1"/>
  <c r="AE14" i="54" s="1"/>
  <c r="AF14" i="54" s="1"/>
  <c r="AQ14" i="54"/>
  <c r="CI14" i="54"/>
  <c r="T14" i="54"/>
  <c r="X14" i="54" s="1"/>
  <c r="DI14" i="54" s="1"/>
  <c r="DK14" i="54" s="1"/>
  <c r="BP14" i="54"/>
  <c r="CI13" i="54"/>
  <c r="AQ13" i="54"/>
  <c r="T13" i="54"/>
  <c r="X13" i="54" s="1"/>
  <c r="DI13" i="54" s="1"/>
  <c r="DK13" i="54" s="1"/>
  <c r="BQ13" i="54"/>
  <c r="BU13" i="54" s="1"/>
  <c r="BR13" i="54"/>
  <c r="BV13" i="54" s="1"/>
  <c r="GZ13" i="54" s="1"/>
  <c r="HB13" i="54" s="1"/>
  <c r="S13" i="54"/>
  <c r="W13" i="54" s="1"/>
  <c r="AE13" i="54" s="1"/>
  <c r="AF13" i="54" s="1"/>
  <c r="R13" i="54"/>
  <c r="AA13" i="54" s="1"/>
  <c r="AQ12" i="54"/>
  <c r="CI12" i="54"/>
  <c r="BP12" i="54"/>
  <c r="R12" i="54"/>
  <c r="AA12" i="54" s="1"/>
  <c r="R11" i="54"/>
  <c r="AA11" i="54" s="1"/>
  <c r="BP11" i="54"/>
  <c r="AQ11" i="54"/>
  <c r="CI11" i="54"/>
  <c r="CI10" i="54"/>
  <c r="AQ10" i="54"/>
  <c r="S10" i="54"/>
  <c r="W10" i="54" s="1"/>
  <c r="AE10" i="54" s="1"/>
  <c r="AF10" i="54" s="1"/>
  <c r="BR10" i="54"/>
  <c r="BV10" i="54" s="1"/>
  <c r="GZ10" i="54" s="1"/>
  <c r="HB10" i="54" s="1"/>
  <c r="T10" i="54"/>
  <c r="X10" i="54" s="1"/>
  <c r="DI10" i="54" s="1"/>
  <c r="DK10" i="54" s="1"/>
  <c r="AQ9" i="54"/>
  <c r="CI9" i="54"/>
  <c r="CI8" i="54"/>
  <c r="AQ8" i="54"/>
  <c r="BP8" i="54"/>
  <c r="R8" i="54"/>
  <c r="AA8" i="54" s="1"/>
  <c r="AQ7" i="54"/>
  <c r="CI7" i="54"/>
  <c r="T7" i="54"/>
  <c r="X7" i="54" s="1"/>
  <c r="DI7" i="54" s="1"/>
  <c r="DK7" i="54" s="1"/>
  <c r="BP7" i="54"/>
  <c r="R7" i="54"/>
  <c r="AA7" i="54" s="1"/>
  <c r="BR7" i="54"/>
  <c r="BV7" i="54" s="1"/>
  <c r="GZ7" i="54" s="1"/>
  <c r="HB7" i="54" s="1"/>
  <c r="S7" i="54"/>
  <c r="W7" i="54" s="1"/>
  <c r="AE7" i="54" s="1"/>
  <c r="AF7" i="54" s="1"/>
  <c r="BP10" i="54"/>
  <c r="BU8" i="54" l="1"/>
  <c r="GY8" i="54" s="1"/>
  <c r="HA8" i="54" s="1"/>
  <c r="BU12" i="54"/>
  <c r="W11" i="54"/>
  <c r="AE11" i="54" s="1"/>
  <c r="AF11" i="54" s="1"/>
  <c r="W9" i="54"/>
  <c r="AE9" i="54" s="1"/>
  <c r="AF9" i="54" s="1"/>
  <c r="BV11" i="54"/>
  <c r="GZ11" i="54" s="1"/>
  <c r="HB11" i="54" s="1"/>
  <c r="X12" i="54"/>
  <c r="DI12" i="54" s="1"/>
  <c r="DK12" i="54" s="1"/>
  <c r="W8" i="54"/>
  <c r="X11" i="54"/>
  <c r="DI11" i="54" s="1"/>
  <c r="DK11" i="54" s="1"/>
  <c r="GY14" i="54"/>
  <c r="HA14" i="54" s="1"/>
  <c r="GY10" i="54"/>
  <c r="HA10" i="54" s="1"/>
  <c r="GY7" i="54"/>
  <c r="HA7" i="54" s="1"/>
  <c r="GY13" i="54"/>
  <c r="HA13" i="54" s="1"/>
  <c r="GY12" i="54"/>
  <c r="HA12" i="54" s="1"/>
  <c r="BU9" i="54"/>
  <c r="BV9" i="54"/>
  <c r="GZ9" i="54" s="1"/>
  <c r="HB9" i="54" s="1"/>
  <c r="W12" i="54"/>
  <c r="BU11" i="54"/>
  <c r="X9" i="54"/>
  <c r="DI9" i="54" s="1"/>
  <c r="DK9" i="54" s="1"/>
  <c r="BV12" i="54"/>
  <c r="GZ12" i="54" s="1"/>
  <c r="HB12" i="54" s="1"/>
  <c r="BV8" i="54"/>
  <c r="GZ8" i="54" s="1"/>
  <c r="HB8" i="54" s="1"/>
  <c r="X8" i="54"/>
  <c r="DI8" i="54" s="1"/>
  <c r="DK8" i="54" s="1"/>
  <c r="DH10" i="54"/>
  <c r="DJ10" i="54" s="1"/>
  <c r="DH13" i="54"/>
  <c r="DJ13" i="54" s="1"/>
  <c r="DH7" i="54"/>
  <c r="DJ7" i="54" s="1"/>
  <c r="BW10" i="54"/>
  <c r="BW7" i="54"/>
  <c r="BW13" i="54"/>
  <c r="DH14" i="54"/>
  <c r="DJ14" i="54" s="1"/>
  <c r="BW14" i="54"/>
  <c r="Y10" i="54"/>
  <c r="Y7" i="54"/>
  <c r="Y14" i="54"/>
  <c r="Y13" i="54"/>
  <c r="DH11" i="54" l="1"/>
  <c r="DJ11" i="54" s="1"/>
  <c r="DH9" i="54"/>
  <c r="DJ9" i="54" s="1"/>
  <c r="DH8" i="54"/>
  <c r="DJ8" i="54" s="1"/>
  <c r="AE8" i="54"/>
  <c r="AF8" i="54" s="1"/>
  <c r="DH12" i="54"/>
  <c r="DJ12" i="54" s="1"/>
  <c r="AE12" i="54"/>
  <c r="AF12" i="54" s="1"/>
  <c r="Y11" i="54"/>
  <c r="GY11" i="54"/>
  <c r="HA11" i="54" s="1"/>
  <c r="GY9" i="54"/>
  <c r="HA9" i="54" s="1"/>
  <c r="Y12" i="54"/>
  <c r="BW9" i="54"/>
  <c r="Y9" i="54"/>
  <c r="BW11" i="54"/>
  <c r="BW12" i="54"/>
  <c r="Y8" i="54"/>
  <c r="BW8" i="54"/>
  <c r="CW56" i="54"/>
  <c r="CW52" i="54"/>
  <c r="CU52" i="54"/>
  <c r="CT52" i="54"/>
  <c r="Q17" i="54" l="1"/>
  <c r="FQ17" i="54" s="1"/>
  <c r="Q16" i="54"/>
  <c r="FQ16" i="54" l="1"/>
  <c r="HC16" i="54"/>
  <c r="JW16" i="54"/>
  <c r="JV16" i="54"/>
  <c r="GE16" i="54"/>
  <c r="GD16" i="54"/>
  <c r="FP17" i="54"/>
  <c r="FT17" i="54"/>
  <c r="AJ17" i="54"/>
  <c r="AG17" i="54"/>
  <c r="BY17" i="54"/>
  <c r="CB17" i="54"/>
  <c r="CB16" i="54"/>
  <c r="AJ16" i="54"/>
  <c r="AG16" i="54"/>
  <c r="JL16" i="54"/>
  <c r="FP16" i="54"/>
  <c r="BY16" i="54"/>
  <c r="JH16" i="54"/>
  <c r="FT16" i="54"/>
  <c r="BP17" i="54"/>
  <c r="JL17" i="54"/>
  <c r="JH17" i="54"/>
  <c r="BP16" i="54"/>
  <c r="CI17" i="54"/>
  <c r="AR17" i="54"/>
  <c r="AQ17" i="54"/>
  <c r="CJ17" i="54"/>
  <c r="R17" i="54"/>
  <c r="BR17" i="54"/>
  <c r="BV17" i="54" s="1"/>
  <c r="GZ17" i="54" s="1"/>
  <c r="HB17" i="54" s="1"/>
  <c r="T17" i="54"/>
  <c r="X17" i="54" s="1"/>
  <c r="DI17" i="54" s="1"/>
  <c r="DK17" i="54" s="1"/>
  <c r="BQ17" i="54"/>
  <c r="BU17" i="54" s="1"/>
  <c r="GY17" i="54" s="1"/>
  <c r="HA17" i="54" s="1"/>
  <c r="S17" i="54"/>
  <c r="W17" i="54" s="1"/>
  <c r="AQ16" i="54"/>
  <c r="CI16" i="54"/>
  <c r="AR16" i="54"/>
  <c r="CJ16" i="54"/>
  <c r="BQ16" i="54"/>
  <c r="BU16" i="54" s="1"/>
  <c r="GY16" i="54" s="1"/>
  <c r="HA16" i="54" s="1"/>
  <c r="R16" i="54"/>
  <c r="BR16" i="54"/>
  <c r="BV16" i="54" s="1"/>
  <c r="GZ16" i="54" s="1"/>
  <c r="HB16" i="54" s="1"/>
  <c r="S16" i="54"/>
  <c r="W16" i="54" s="1"/>
  <c r="T16" i="54"/>
  <c r="X16" i="54" s="1"/>
  <c r="DI16" i="54" s="1"/>
  <c r="DK16" i="54" s="1"/>
  <c r="Q19" i="54"/>
  <c r="Q20" i="54"/>
  <c r="KJ20" i="54" l="1"/>
  <c r="GR20" i="54"/>
  <c r="CZ20" i="54"/>
  <c r="BH20" i="54"/>
  <c r="DH17" i="54"/>
  <c r="DJ17" i="54" s="1"/>
  <c r="AE17" i="54"/>
  <c r="AF17" i="54" s="1"/>
  <c r="AD17" i="54"/>
  <c r="AB17" i="54"/>
  <c r="AA17" i="54"/>
  <c r="AC17" i="54" s="1"/>
  <c r="DH16" i="54"/>
  <c r="DJ16" i="54" s="1"/>
  <c r="AE16" i="54"/>
  <c r="AF16" i="54" s="1"/>
  <c r="AD14" i="54"/>
  <c r="AD13" i="54"/>
  <c r="AD12" i="54"/>
  <c r="AD11" i="54"/>
  <c r="AD9" i="54"/>
  <c r="AB7" i="54"/>
  <c r="AB14" i="54"/>
  <c r="AB13" i="54"/>
  <c r="AB12" i="54"/>
  <c r="AB11" i="54"/>
  <c r="AB10" i="54"/>
  <c r="AB9" i="54"/>
  <c r="AB8" i="54"/>
  <c r="AD7" i="54"/>
  <c r="AD10" i="54"/>
  <c r="AD8" i="54"/>
  <c r="AD16" i="54"/>
  <c r="AB16" i="54"/>
  <c r="AA16" i="54"/>
  <c r="AC16" i="54" s="1"/>
  <c r="KG22" i="54"/>
  <c r="CW22" i="54"/>
  <c r="BE22" i="54"/>
  <c r="GO22" i="54"/>
  <c r="BW17" i="54"/>
  <c r="BW16" i="54"/>
  <c r="Y16" i="54"/>
  <c r="Y17" i="54"/>
  <c r="B28" i="54"/>
  <c r="Z17" i="54"/>
  <c r="AH17" i="54" s="1"/>
  <c r="BX17" i="54"/>
  <c r="BZ17" i="54" s="1"/>
  <c r="JU16" i="54" l="1"/>
  <c r="AC7" i="54"/>
  <c r="AC11" i="54"/>
  <c r="AC14" i="54"/>
  <c r="AC8" i="54"/>
  <c r="AC9" i="54"/>
  <c r="AC13" i="54"/>
  <c r="AF21" i="54"/>
  <c r="AF20" i="54"/>
  <c r="AC12" i="54"/>
  <c r="AC10" i="54"/>
  <c r="JU10" i="54"/>
  <c r="JU9" i="54"/>
  <c r="JU14" i="54"/>
  <c r="JU17" i="54"/>
  <c r="JU13" i="54"/>
  <c r="JU12" i="54"/>
  <c r="JU11" i="54"/>
  <c r="JU7" i="54"/>
  <c r="JU8" i="54"/>
  <c r="GC17" i="54"/>
  <c r="GC12" i="54"/>
  <c r="GC8" i="54"/>
  <c r="GC16" i="54"/>
  <c r="GC11" i="54"/>
  <c r="GC7" i="54"/>
  <c r="GC14" i="54"/>
  <c r="GC13" i="54"/>
  <c r="GC9" i="54"/>
  <c r="GC10" i="54"/>
  <c r="B1" i="62"/>
  <c r="B14" i="54"/>
  <c r="B13" i="54"/>
  <c r="B12" i="54"/>
  <c r="AF22" i="54" l="1"/>
  <c r="AF26" i="54"/>
  <c r="AF28" i="54" s="1"/>
  <c r="AF27" i="54"/>
  <c r="CT13" i="54"/>
  <c r="KD13" i="54"/>
  <c r="GL13" i="54"/>
  <c r="CT14" i="54"/>
  <c r="KD14" i="54"/>
  <c r="GL14" i="54"/>
  <c r="KD12" i="54"/>
  <c r="CT12" i="54"/>
  <c r="GL12" i="54"/>
  <c r="B9" i="63"/>
  <c r="CA17" i="54" l="1"/>
  <c r="CC17" i="54" s="1"/>
  <c r="CD17" i="54" s="1"/>
  <c r="FR17" i="54"/>
  <c r="AI17" i="54"/>
  <c r="AK17" i="54" s="1"/>
  <c r="AL17" i="54" s="1"/>
  <c r="JJ16" i="54"/>
  <c r="FR16" i="54"/>
  <c r="AI16" i="54"/>
  <c r="CA16" i="54"/>
  <c r="JJ17" i="54"/>
  <c r="JJ8" i="54"/>
  <c r="CA10" i="54"/>
  <c r="JJ7" i="54"/>
  <c r="CA9" i="54"/>
  <c r="JJ11" i="54"/>
  <c r="JJ14" i="54"/>
  <c r="CA8" i="54"/>
  <c r="CA7" i="54"/>
  <c r="JJ12" i="54"/>
  <c r="CA14" i="54"/>
  <c r="CA13" i="54"/>
  <c r="CA12" i="54"/>
  <c r="CA11" i="54"/>
  <c r="JJ13" i="54"/>
  <c r="AI8" i="54"/>
  <c r="JJ10" i="54"/>
  <c r="JJ9" i="54"/>
  <c r="FR13" i="54"/>
  <c r="FR9" i="54"/>
  <c r="AI14" i="54"/>
  <c r="AI10" i="54"/>
  <c r="FR11" i="54"/>
  <c r="AI12" i="54"/>
  <c r="FR14" i="54"/>
  <c r="AI11" i="54"/>
  <c r="FR12" i="54"/>
  <c r="FR8" i="54"/>
  <c r="AI13" i="54"/>
  <c r="AI9" i="54"/>
  <c r="FR7" i="54"/>
  <c r="AI7" i="54"/>
  <c r="FR10" i="54"/>
  <c r="B10" i="63"/>
  <c r="B11" i="63"/>
  <c r="B8" i="63"/>
  <c r="CB14" i="54" l="1"/>
  <c r="BY14" i="54"/>
  <c r="CB13" i="54"/>
  <c r="BY13" i="54"/>
  <c r="CB10" i="54"/>
  <c r="BY10" i="54"/>
  <c r="BY7" i="54"/>
  <c r="AJ14" i="54"/>
  <c r="AJ13" i="54"/>
  <c r="AJ10" i="54"/>
  <c r="AG14" i="54"/>
  <c r="AG13" i="54"/>
  <c r="AG10" i="54"/>
  <c r="AG7" i="54"/>
  <c r="E23" i="54" l="1"/>
  <c r="D23" i="54"/>
  <c r="CT27" i="54"/>
  <c r="CK17" i="54" l="1"/>
  <c r="CK12" i="54"/>
  <c r="CK8" i="54"/>
  <c r="CK16" i="54"/>
  <c r="CK11" i="54"/>
  <c r="CK7" i="54"/>
  <c r="CK14" i="54"/>
  <c r="CK10" i="54"/>
  <c r="CK13" i="54"/>
  <c r="CK9" i="54"/>
  <c r="AS16" i="54"/>
  <c r="AS11" i="54"/>
  <c r="AS7" i="54"/>
  <c r="AS14" i="54"/>
  <c r="AS10" i="54"/>
  <c r="AS13" i="54"/>
  <c r="AS9" i="54"/>
  <c r="AS17" i="54"/>
  <c r="AS12" i="54"/>
  <c r="AS8" i="54"/>
  <c r="BC52" i="54" l="1"/>
  <c r="CU56" i="54"/>
  <c r="BX16" i="54" l="1"/>
  <c r="BZ16" i="54" s="1"/>
  <c r="BX13" i="54"/>
  <c r="BX12" i="54"/>
  <c r="BX7" i="54"/>
  <c r="CB7" i="54" s="1"/>
  <c r="BX9" i="54"/>
  <c r="BX8" i="54"/>
  <c r="BX14" i="54"/>
  <c r="BX10" i="54"/>
  <c r="BX11" i="54"/>
  <c r="CM19" i="54"/>
  <c r="CL19" i="54"/>
  <c r="BZ10" i="54" l="1"/>
  <c r="CC10" i="54" s="1"/>
  <c r="BZ7" i="54"/>
  <c r="CC7" i="54" s="1"/>
  <c r="BZ11" i="54"/>
  <c r="CC11" i="54" s="1"/>
  <c r="BZ14" i="54"/>
  <c r="CC14" i="54" s="1"/>
  <c r="BZ12" i="54"/>
  <c r="BZ8" i="54"/>
  <c r="CC8" i="54" s="1"/>
  <c r="BZ13" i="54"/>
  <c r="CC13" i="54" s="1"/>
  <c r="BZ9" i="54"/>
  <c r="CC9" i="54" s="1"/>
  <c r="BB17" i="54"/>
  <c r="BB16" i="54"/>
  <c r="BB15" i="54"/>
  <c r="BB14" i="54"/>
  <c r="BB13" i="54"/>
  <c r="BB12" i="54"/>
  <c r="BB11" i="54"/>
  <c r="BB10" i="54"/>
  <c r="BB9" i="54"/>
  <c r="BB8" i="54"/>
  <c r="BB7" i="54"/>
  <c r="CC16" i="54" l="1"/>
  <c r="CD16" i="54" s="1"/>
  <c r="CD13" i="54"/>
  <c r="CD11" i="54"/>
  <c r="CD7" i="54"/>
  <c r="CD8" i="54"/>
  <c r="CD10" i="54"/>
  <c r="CD9" i="54"/>
  <c r="CD14" i="54"/>
  <c r="CC12" i="54"/>
  <c r="Z16" i="54"/>
  <c r="AH16" i="54" s="1"/>
  <c r="AK16" i="54" s="1"/>
  <c r="CE10" i="54"/>
  <c r="CE17" i="54"/>
  <c r="CE8" i="54"/>
  <c r="CE9" i="54"/>
  <c r="CE13" i="54"/>
  <c r="CE11" i="54"/>
  <c r="CE14" i="54"/>
  <c r="CE7" i="54"/>
  <c r="Z11" i="54"/>
  <c r="AH11" i="54" s="1"/>
  <c r="Z10" i="54"/>
  <c r="AH10" i="54" s="1"/>
  <c r="Z9" i="54"/>
  <c r="AH9" i="54" s="1"/>
  <c r="Z7" i="54"/>
  <c r="Z12" i="54"/>
  <c r="AH12" i="54" s="1"/>
  <c r="Z8" i="54"/>
  <c r="AH8" i="54" s="1"/>
  <c r="Z14" i="54"/>
  <c r="AH14" i="54" s="1"/>
  <c r="Z13" i="54"/>
  <c r="AH13" i="54" s="1"/>
  <c r="AH7" i="54" l="1"/>
  <c r="JL7" i="54"/>
  <c r="FT7" i="54"/>
  <c r="AJ7" i="54"/>
  <c r="CE16" i="54"/>
  <c r="AL16" i="54"/>
  <c r="CE12" i="54"/>
  <c r="CD12" i="54"/>
  <c r="CF13" i="54" s="1"/>
  <c r="AK10" i="54"/>
  <c r="AL10" i="54" s="1"/>
  <c r="AK14" i="54"/>
  <c r="AL14" i="54" s="1"/>
  <c r="AK13" i="54"/>
  <c r="AL13" i="54" s="1"/>
  <c r="AK11" i="54"/>
  <c r="AL11" i="54" s="1"/>
  <c r="AK9" i="54"/>
  <c r="AL9" i="54" s="1"/>
  <c r="AK8" i="54"/>
  <c r="AL8" i="54" s="1"/>
  <c r="CF17" i="54" l="1"/>
  <c r="AK7" i="54"/>
  <c r="AL7" i="54" s="1"/>
  <c r="CG8" i="54"/>
  <c r="CG13" i="54"/>
  <c r="CG16" i="54"/>
  <c r="CG12" i="54"/>
  <c r="CG10" i="54"/>
  <c r="CG14" i="54"/>
  <c r="CG7" i="54"/>
  <c r="CG9" i="54"/>
  <c r="CG11" i="54"/>
  <c r="CG17" i="54"/>
  <c r="CF7" i="54"/>
  <c r="CF8" i="54"/>
  <c r="CF10" i="54"/>
  <c r="CF14" i="54"/>
  <c r="CF11" i="54"/>
  <c r="CF16" i="54"/>
  <c r="CF9" i="54"/>
  <c r="CF12" i="54"/>
  <c r="AK12" i="54"/>
  <c r="AL12" i="54" s="1"/>
  <c r="AM8" i="54"/>
  <c r="AM13" i="54"/>
  <c r="AM16" i="54"/>
  <c r="AM9" i="54"/>
  <c r="AM14" i="54"/>
  <c r="AM11" i="54"/>
  <c r="AM10" i="54"/>
  <c r="AM17" i="54"/>
  <c r="AM7" i="54" l="1"/>
  <c r="AM12" i="54"/>
  <c r="AO13" i="54"/>
  <c r="AO12" i="54"/>
  <c r="AO14" i="54"/>
  <c r="AO8" i="54"/>
  <c r="AO11" i="54"/>
  <c r="AO10" i="54"/>
  <c r="AO16" i="54"/>
  <c r="AO17" i="54"/>
  <c r="AO9" i="54"/>
  <c r="AO7" i="54"/>
  <c r="AN14" i="54"/>
  <c r="AN13" i="54"/>
  <c r="AN10" i="54"/>
  <c r="AN11" i="54"/>
  <c r="AN12" i="54"/>
  <c r="AN9" i="54"/>
  <c r="AN7" i="54"/>
  <c r="AN8" i="54"/>
  <c r="AN16" i="54"/>
  <c r="AN17" i="54"/>
  <c r="AP16" i="54" l="1"/>
  <c r="AU16" i="54" s="1"/>
  <c r="AP17" i="54"/>
  <c r="AU17" i="54" s="1"/>
  <c r="AP11" i="54"/>
  <c r="AU11" i="54" s="1"/>
  <c r="AP12" i="54"/>
  <c r="AT12" i="54" s="1"/>
  <c r="AP13" i="54"/>
  <c r="AT13" i="54" s="1"/>
  <c r="AP7" i="54"/>
  <c r="AP10" i="54"/>
  <c r="AU10" i="54" s="1"/>
  <c r="AP14" i="54"/>
  <c r="AU14" i="54" s="1"/>
  <c r="AP8" i="54"/>
  <c r="AU8" i="54" s="1"/>
  <c r="AP9" i="54"/>
  <c r="AT9" i="54" s="1"/>
  <c r="AT17" i="54" l="1"/>
  <c r="DL17" i="54" s="1"/>
  <c r="BC12" i="54"/>
  <c r="BC9" i="54"/>
  <c r="BD10" i="54"/>
  <c r="BD11" i="54"/>
  <c r="BD17" i="54"/>
  <c r="AX17" i="54" s="1"/>
  <c r="BD8" i="54"/>
  <c r="BC13" i="54"/>
  <c r="BD16" i="54"/>
  <c r="AX16" i="54" s="1"/>
  <c r="BD14" i="54"/>
  <c r="AT16" i="54"/>
  <c r="AU7" i="54"/>
  <c r="Q23" i="54"/>
  <c r="AT10" i="54"/>
  <c r="AT11" i="54"/>
  <c r="AU12" i="54"/>
  <c r="DL12" i="54" s="1"/>
  <c r="DM12" i="54" s="1"/>
  <c r="AU13" i="54"/>
  <c r="DN13" i="54" s="1"/>
  <c r="DR13" i="54" s="1"/>
  <c r="AU9" i="54"/>
  <c r="DL9" i="54" s="1"/>
  <c r="DM9" i="54" s="1"/>
  <c r="AT7" i="54"/>
  <c r="AT8" i="54"/>
  <c r="AT14" i="54"/>
  <c r="DN17" i="54" l="1"/>
  <c r="DR17" i="54" s="1"/>
  <c r="BC17" i="54"/>
  <c r="AW17" i="54" s="1"/>
  <c r="AZ17" i="54" s="1"/>
  <c r="BE23" i="54"/>
  <c r="BE24" i="54" s="1"/>
  <c r="DM17" i="54"/>
  <c r="DQ17" i="54" s="1"/>
  <c r="DN14" i="54"/>
  <c r="DL14" i="54"/>
  <c r="DM14" i="54" s="1"/>
  <c r="DN8" i="54"/>
  <c r="DL8" i="54"/>
  <c r="DM8" i="54" s="1"/>
  <c r="DN12" i="54"/>
  <c r="DR12" i="54" s="1"/>
  <c r="DN11" i="54"/>
  <c r="DR11" i="54" s="1"/>
  <c r="DL11" i="54"/>
  <c r="DM11" i="54" s="1"/>
  <c r="DL7" i="54"/>
  <c r="DM7" i="54" s="1"/>
  <c r="DN7" i="54"/>
  <c r="DN16" i="54"/>
  <c r="DL16" i="54"/>
  <c r="DN10" i="54"/>
  <c r="DR10" i="54" s="1"/>
  <c r="DL10" i="54"/>
  <c r="DM10" i="54" s="1"/>
  <c r="DN9" i="54"/>
  <c r="DL13" i="54"/>
  <c r="DM13" i="54" s="1"/>
  <c r="AW12" i="54"/>
  <c r="AW13" i="54"/>
  <c r="AX11" i="54"/>
  <c r="AX14" i="54"/>
  <c r="AX8" i="54"/>
  <c r="AX10" i="54"/>
  <c r="AW9" i="54"/>
  <c r="BC16" i="54"/>
  <c r="AW16" i="54" s="1"/>
  <c r="BC7" i="54"/>
  <c r="BC11" i="54"/>
  <c r="BD9" i="54"/>
  <c r="BC10" i="54"/>
  <c r="BC14" i="54"/>
  <c r="BD13" i="54"/>
  <c r="BC8" i="54"/>
  <c r="BD12" i="54"/>
  <c r="BD7" i="54"/>
  <c r="DO17" i="54" l="1"/>
  <c r="FN17" i="54" s="1"/>
  <c r="DM16" i="54"/>
  <c r="EF17" i="54" s="1"/>
  <c r="DO14" i="54"/>
  <c r="DO10" i="54"/>
  <c r="DO7" i="54"/>
  <c r="DO8" i="54"/>
  <c r="DQ8" i="54" s="1"/>
  <c r="DO13" i="54"/>
  <c r="DO16" i="54"/>
  <c r="DO11" i="54"/>
  <c r="DO12" i="54"/>
  <c r="DQ12" i="54" s="1"/>
  <c r="DO9" i="54"/>
  <c r="AY17" i="54"/>
  <c r="BH17" i="54" s="1"/>
  <c r="AY16" i="54"/>
  <c r="AX12" i="54"/>
  <c r="AY12" i="54" s="1"/>
  <c r="AW11" i="54"/>
  <c r="AW10" i="54"/>
  <c r="AW8" i="54"/>
  <c r="AX9" i="54"/>
  <c r="AX13" i="54"/>
  <c r="AX7" i="54"/>
  <c r="AW14" i="54"/>
  <c r="AW7" i="54"/>
  <c r="CH17" i="54"/>
  <c r="CH16" i="54"/>
  <c r="DQ7" i="54" l="1"/>
  <c r="FL17" i="54"/>
  <c r="FK17" i="54"/>
  <c r="FO17" i="54"/>
  <c r="DV17" i="54"/>
  <c r="FM17" i="54"/>
  <c r="DP17" i="54"/>
  <c r="DS17" i="54"/>
  <c r="DU17" i="54"/>
  <c r="DT17" i="54"/>
  <c r="DQ9" i="54"/>
  <c r="ED10" i="54"/>
  <c r="EF11" i="54"/>
  <c r="DQ16" i="54"/>
  <c r="DW17" i="54"/>
  <c r="BJ17" i="54"/>
  <c r="BM17" i="54" s="1"/>
  <c r="EA17" i="54"/>
  <c r="DX11" i="54"/>
  <c r="EB11" i="54"/>
  <c r="DZ12" i="54"/>
  <c r="DX13" i="54"/>
  <c r="EF10" i="54"/>
  <c r="ED11" i="54"/>
  <c r="DQ11" i="54"/>
  <c r="DZ11" i="54"/>
  <c r="DX12" i="54"/>
  <c r="ED12" i="54"/>
  <c r="EF13" i="54"/>
  <c r="EB12" i="54"/>
  <c r="EB13" i="54"/>
  <c r="DY17" i="54"/>
  <c r="EF12" i="54"/>
  <c r="DZ17" i="54"/>
  <c r="EC17" i="54"/>
  <c r="DX10" i="54"/>
  <c r="DZ13" i="54"/>
  <c r="EE17" i="54"/>
  <c r="ED17" i="54"/>
  <c r="DZ10" i="54"/>
  <c r="EB10" i="54"/>
  <c r="ED13" i="54"/>
  <c r="DX17" i="54"/>
  <c r="EB17" i="54"/>
  <c r="DR14" i="54"/>
  <c r="ED14" i="54" s="1"/>
  <c r="DR8" i="54"/>
  <c r="EF8" i="54" s="1"/>
  <c r="BE25" i="54"/>
  <c r="BE26" i="54" s="1"/>
  <c r="BE27" i="54" s="1"/>
  <c r="DR9" i="54"/>
  <c r="DQ13" i="54"/>
  <c r="DQ10" i="54"/>
  <c r="DQ14" i="54"/>
  <c r="DR16" i="54"/>
  <c r="DR7" i="54"/>
  <c r="AZ16" i="54"/>
  <c r="BH16" i="54" s="1"/>
  <c r="BJ16" i="54" s="1"/>
  <c r="AZ7" i="54"/>
  <c r="AY7" i="54"/>
  <c r="AZ10" i="54"/>
  <c r="AY10" i="54"/>
  <c r="AZ9" i="54"/>
  <c r="AY9" i="54"/>
  <c r="AZ14" i="54"/>
  <c r="AY14" i="54"/>
  <c r="AZ13" i="54"/>
  <c r="AY13" i="54"/>
  <c r="AZ8" i="54"/>
  <c r="AY8" i="54"/>
  <c r="AZ11" i="54"/>
  <c r="AY11" i="54"/>
  <c r="AZ12" i="54"/>
  <c r="BH12" i="54" s="1"/>
  <c r="CM16" i="54"/>
  <c r="CL16" i="54"/>
  <c r="CL17" i="54"/>
  <c r="CM17" i="54"/>
  <c r="CH14" i="54"/>
  <c r="CH12" i="54"/>
  <c r="CH7" i="54"/>
  <c r="CH9" i="54"/>
  <c r="CH8" i="54"/>
  <c r="CH11" i="54"/>
  <c r="CH10" i="54"/>
  <c r="CH13" i="54"/>
  <c r="HC17" i="54" l="1"/>
  <c r="BL17" i="54"/>
  <c r="EF14" i="54"/>
  <c r="EB14" i="54"/>
  <c r="EE11" i="54"/>
  <c r="EC11" i="54"/>
  <c r="DW11" i="54"/>
  <c r="DY11" i="54"/>
  <c r="EA11" i="54"/>
  <c r="BE28" i="54"/>
  <c r="BE29" i="54"/>
  <c r="DZ14" i="54"/>
  <c r="DX14" i="54"/>
  <c r="ED8" i="54"/>
  <c r="EB8" i="54"/>
  <c r="DZ8" i="54"/>
  <c r="DX8" i="54"/>
  <c r="EE10" i="54"/>
  <c r="EE12" i="54"/>
  <c r="DY12" i="54"/>
  <c r="EA12" i="54"/>
  <c r="EC12" i="54"/>
  <c r="DW12" i="54"/>
  <c r="EE7" i="54"/>
  <c r="ED7" i="54"/>
  <c r="EF7" i="54"/>
  <c r="EC13" i="54"/>
  <c r="EE13" i="54"/>
  <c r="ED9" i="54"/>
  <c r="EF9" i="54"/>
  <c r="EE16" i="54"/>
  <c r="ED16" i="54"/>
  <c r="EF16" i="54"/>
  <c r="DW16" i="54"/>
  <c r="DY16" i="54"/>
  <c r="EC14" i="54"/>
  <c r="EE14" i="54"/>
  <c r="EA16" i="54"/>
  <c r="EE8" i="54"/>
  <c r="EC16" i="54"/>
  <c r="EE9" i="54"/>
  <c r="EC7" i="54"/>
  <c r="EA9" i="54"/>
  <c r="EC10" i="54"/>
  <c r="EC9" i="54"/>
  <c r="EC8" i="54"/>
  <c r="DW9" i="54"/>
  <c r="DY9" i="54"/>
  <c r="EB9" i="54"/>
  <c r="EA7" i="54"/>
  <c r="DY8" i="54"/>
  <c r="DW8" i="54"/>
  <c r="EA8" i="54"/>
  <c r="DX9" i="54"/>
  <c r="DZ9" i="54"/>
  <c r="DY7" i="54"/>
  <c r="DW7" i="54"/>
  <c r="DW10" i="54"/>
  <c r="DY10" i="54"/>
  <c r="EA10" i="54"/>
  <c r="EB7" i="54"/>
  <c r="DZ7" i="54"/>
  <c r="DX7" i="54"/>
  <c r="DY13" i="54"/>
  <c r="EA13" i="54"/>
  <c r="DW13" i="54"/>
  <c r="DY14" i="54"/>
  <c r="EA14" i="54"/>
  <c r="DW14" i="54"/>
  <c r="EB16" i="54"/>
  <c r="DZ16" i="54"/>
  <c r="DX16" i="54"/>
  <c r="BH11" i="54"/>
  <c r="BH9" i="54"/>
  <c r="BH8" i="54"/>
  <c r="HE16" i="54"/>
  <c r="HE17" i="54"/>
  <c r="HJ17" i="54" s="1"/>
  <c r="CV16" i="54"/>
  <c r="CP16" i="54" s="1"/>
  <c r="CV17" i="54"/>
  <c r="CP17" i="54" s="1"/>
  <c r="BM16" i="54"/>
  <c r="BL16" i="54"/>
  <c r="BJ12" i="54"/>
  <c r="BH7" i="54"/>
  <c r="BH14" i="54"/>
  <c r="BH10" i="54"/>
  <c r="BH13" i="54"/>
  <c r="CU16" i="54"/>
  <c r="CO16" i="54" s="1"/>
  <c r="CU17" i="54"/>
  <c r="CO17" i="54" s="1"/>
  <c r="CL11" i="54"/>
  <c r="CM11" i="54"/>
  <c r="CV11" i="54" s="1"/>
  <c r="CL12" i="54"/>
  <c r="CM12" i="54"/>
  <c r="CV12" i="54" s="1"/>
  <c r="CM9" i="54"/>
  <c r="CV9" i="54" s="1"/>
  <c r="CL9" i="54"/>
  <c r="CL13" i="54"/>
  <c r="CM13" i="54"/>
  <c r="CV13" i="54" s="1"/>
  <c r="CM8" i="54"/>
  <c r="CV8" i="54" s="1"/>
  <c r="CL8" i="54"/>
  <c r="CL10" i="54"/>
  <c r="CM10" i="54"/>
  <c r="CV10" i="54" s="1"/>
  <c r="CM7" i="54"/>
  <c r="CV7" i="54" s="1"/>
  <c r="CL7" i="54"/>
  <c r="CL14" i="54"/>
  <c r="CM14" i="54"/>
  <c r="CV14" i="54" s="1"/>
  <c r="HD17" i="54" l="1"/>
  <c r="HI17" i="54" s="1"/>
  <c r="HF17" i="54"/>
  <c r="CW23" i="54"/>
  <c r="CW24" i="54" s="1"/>
  <c r="FD13" i="54"/>
  <c r="FD17" i="54"/>
  <c r="FD11" i="54"/>
  <c r="FD10" i="54"/>
  <c r="FD8" i="54"/>
  <c r="FD16" i="54"/>
  <c r="FD7" i="54"/>
  <c r="FD14" i="54"/>
  <c r="FE11" i="54"/>
  <c r="FE10" i="54"/>
  <c r="FE16" i="54"/>
  <c r="FE9" i="54"/>
  <c r="FE8" i="54"/>
  <c r="FE7" i="54"/>
  <c r="FE17" i="54"/>
  <c r="FE14" i="54"/>
  <c r="FE12" i="54"/>
  <c r="FE13" i="54"/>
  <c r="FD12" i="54"/>
  <c r="FD9" i="54"/>
  <c r="EZ17" i="54"/>
  <c r="EZ16" i="54"/>
  <c r="EZ10" i="54"/>
  <c r="EZ7" i="54"/>
  <c r="EY7" i="54"/>
  <c r="EZ14" i="54"/>
  <c r="EY14" i="54"/>
  <c r="EY9" i="54"/>
  <c r="EY8" i="54"/>
  <c r="EZ11" i="54"/>
  <c r="EZ13" i="54"/>
  <c r="EY13" i="54"/>
  <c r="EZ8" i="54"/>
  <c r="EY16" i="54"/>
  <c r="EZ9" i="54"/>
  <c r="EY17" i="54"/>
  <c r="EY11" i="54"/>
  <c r="EY10" i="54"/>
  <c r="EZ12" i="54"/>
  <c r="EY12" i="54"/>
  <c r="EG17" i="54"/>
  <c r="EH17" i="54"/>
  <c r="EK9" i="54"/>
  <c r="EM16" i="54"/>
  <c r="EK16" i="54"/>
  <c r="EJ16" i="54"/>
  <c r="EI10" i="54"/>
  <c r="EK13" i="54"/>
  <c r="EP13" i="54"/>
  <c r="EJ9" i="54"/>
  <c r="EJ10" i="54"/>
  <c r="EH11" i="54"/>
  <c r="EI7" i="54"/>
  <c r="EJ17" i="54"/>
  <c r="EJ11" i="54"/>
  <c r="EJ12" i="54"/>
  <c r="EK12" i="54"/>
  <c r="EH10" i="54"/>
  <c r="EI17" i="54"/>
  <c r="EK8" i="54"/>
  <c r="EK7" i="54"/>
  <c r="EI13" i="54"/>
  <c r="EI8" i="54"/>
  <c r="EI11" i="54"/>
  <c r="EJ14" i="54"/>
  <c r="EN9" i="54"/>
  <c r="EO11" i="54"/>
  <c r="EM8" i="54"/>
  <c r="EN10" i="54"/>
  <c r="EN14" i="54"/>
  <c r="EO16" i="54"/>
  <c r="EP8" i="54"/>
  <c r="EP17" i="54"/>
  <c r="EN7" i="54"/>
  <c r="EL17" i="54"/>
  <c r="EW12" i="54"/>
  <c r="EW8" i="54"/>
  <c r="EW17" i="54"/>
  <c r="EW13" i="54"/>
  <c r="FB10" i="54"/>
  <c r="FB7" i="54"/>
  <c r="FB13" i="54"/>
  <c r="FB16" i="54"/>
  <c r="EW7" i="54"/>
  <c r="FB17" i="54"/>
  <c r="EW11" i="54"/>
  <c r="FB14" i="54"/>
  <c r="FB9" i="54"/>
  <c r="EW14" i="54"/>
  <c r="EW10" i="54"/>
  <c r="FB12" i="54"/>
  <c r="FB11" i="54"/>
  <c r="FB8" i="54"/>
  <c r="EO8" i="54"/>
  <c r="EO14" i="54"/>
  <c r="EM13" i="54"/>
  <c r="EO9" i="54"/>
  <c r="EN13" i="54"/>
  <c r="EP9" i="54"/>
  <c r="EL11" i="54"/>
  <c r="EN8" i="54"/>
  <c r="EL12" i="54"/>
  <c r="EO13" i="54"/>
  <c r="EL13" i="54"/>
  <c r="EN17" i="54"/>
  <c r="EI12" i="54"/>
  <c r="EH8" i="54"/>
  <c r="EG11" i="54"/>
  <c r="EJ13" i="54"/>
  <c r="EG12" i="54"/>
  <c r="EJ8" i="54"/>
  <c r="EH12" i="54"/>
  <c r="EI14" i="54"/>
  <c r="EI16" i="54"/>
  <c r="ER17" i="54"/>
  <c r="EQ17" i="54"/>
  <c r="EU13" i="54"/>
  <c r="ET13" i="54"/>
  <c r="ES7" i="54"/>
  <c r="ES12" i="54"/>
  <c r="ES9" i="54"/>
  <c r="EQ12" i="54"/>
  <c r="EU14" i="54"/>
  <c r="EU8" i="54"/>
  <c r="ES11" i="54"/>
  <c r="ES8" i="54"/>
  <c r="EU17" i="54"/>
  <c r="EQ11" i="54"/>
  <c r="ES13" i="54"/>
  <c r="EU12" i="54"/>
  <c r="ES16" i="54"/>
  <c r="ER16" i="54"/>
  <c r="ET17" i="54"/>
  <c r="ET12" i="54"/>
  <c r="EU9" i="54"/>
  <c r="ES17" i="54"/>
  <c r="ET9" i="54"/>
  <c r="ET11" i="54"/>
  <c r="ER12" i="54"/>
  <c r="ET8" i="54"/>
  <c r="ES10" i="54"/>
  <c r="ET7" i="54"/>
  <c r="ER14" i="54"/>
  <c r="EU16" i="54"/>
  <c r="EU11" i="54"/>
  <c r="ES14" i="54"/>
  <c r="EU10" i="54"/>
  <c r="EU7" i="54"/>
  <c r="ET14" i="54"/>
  <c r="ER8" i="54"/>
  <c r="ET16" i="54"/>
  <c r="ET10" i="54"/>
  <c r="ER11" i="54"/>
  <c r="EM12" i="54"/>
  <c r="EP16" i="54"/>
  <c r="EO12" i="54"/>
  <c r="EV12" i="54"/>
  <c r="EV10" i="54"/>
  <c r="FA17" i="54"/>
  <c r="EV17" i="54"/>
  <c r="EV11" i="54"/>
  <c r="EV13" i="54"/>
  <c r="EV9" i="54"/>
  <c r="EO17" i="54"/>
  <c r="EN11" i="54"/>
  <c r="EN12" i="54"/>
  <c r="EM11" i="54"/>
  <c r="EM17" i="54"/>
  <c r="EN16" i="54"/>
  <c r="EX12" i="54"/>
  <c r="EX8" i="54"/>
  <c r="FC16" i="54"/>
  <c r="FC11" i="54"/>
  <c r="FC10" i="54"/>
  <c r="FC7" i="54"/>
  <c r="EX10" i="54"/>
  <c r="EX17" i="54"/>
  <c r="FC17" i="54"/>
  <c r="EX11" i="54"/>
  <c r="EX9" i="54"/>
  <c r="EX14" i="54"/>
  <c r="EX16" i="54"/>
  <c r="FC14" i="54"/>
  <c r="EX13" i="54"/>
  <c r="FC13" i="54"/>
  <c r="FC9" i="54"/>
  <c r="FC8" i="54"/>
  <c r="FC12" i="54"/>
  <c r="EX7" i="54"/>
  <c r="EO10" i="54"/>
  <c r="EO7" i="54"/>
  <c r="EP7" i="54"/>
  <c r="EP10" i="54"/>
  <c r="EP14" i="54"/>
  <c r="EP11" i="54"/>
  <c r="EP12" i="54"/>
  <c r="EM14" i="54"/>
  <c r="EJ7" i="54"/>
  <c r="EK11" i="54"/>
  <c r="EK10" i="54"/>
  <c r="EK17" i="54"/>
  <c r="EK14" i="54"/>
  <c r="EI9" i="54"/>
  <c r="EH16" i="54"/>
  <c r="HD16" i="54"/>
  <c r="HF16" i="54"/>
  <c r="HE7" i="54"/>
  <c r="HE8" i="54"/>
  <c r="HE9" i="54"/>
  <c r="HE11" i="54"/>
  <c r="HJ11" i="54" s="1"/>
  <c r="HE14" i="54"/>
  <c r="HE10" i="54"/>
  <c r="HC13" i="54"/>
  <c r="HE13" i="54"/>
  <c r="HE12" i="54"/>
  <c r="HJ12" i="54" s="1"/>
  <c r="HC7" i="54"/>
  <c r="HC8" i="54"/>
  <c r="HC9" i="54"/>
  <c r="HC14" i="54"/>
  <c r="HC10" i="54"/>
  <c r="HC12" i="54"/>
  <c r="CR16" i="54"/>
  <c r="HC11" i="54"/>
  <c r="CR17" i="54"/>
  <c r="BM12" i="54"/>
  <c r="CP7" i="54"/>
  <c r="CP9" i="54"/>
  <c r="CP10" i="54"/>
  <c r="CP13" i="54"/>
  <c r="CP11" i="54"/>
  <c r="CP8" i="54"/>
  <c r="CP14" i="54"/>
  <c r="CP12" i="54"/>
  <c r="BL12" i="54"/>
  <c r="BJ10" i="54"/>
  <c r="BJ13" i="54"/>
  <c r="BJ14" i="54"/>
  <c r="BJ8" i="54"/>
  <c r="BJ11" i="54"/>
  <c r="BJ9" i="54"/>
  <c r="BJ7" i="54"/>
  <c r="CU11" i="54"/>
  <c r="CU7" i="54"/>
  <c r="CU9" i="54"/>
  <c r="CU14" i="54"/>
  <c r="CU10" i="54"/>
  <c r="CU13" i="54"/>
  <c r="CU12" i="54"/>
  <c r="CU8" i="54"/>
  <c r="HM17" i="54" l="1"/>
  <c r="JE17" i="54"/>
  <c r="JC17" i="54"/>
  <c r="HH17" i="54"/>
  <c r="JF17" i="54"/>
  <c r="HN17" i="54"/>
  <c r="HG17" i="54"/>
  <c r="JD17" i="54"/>
  <c r="HK17" i="54"/>
  <c r="HL17" i="54" s="1"/>
  <c r="JG17" i="54"/>
  <c r="FH17" i="54"/>
  <c r="FI11" i="54"/>
  <c r="FN11" i="54" s="1"/>
  <c r="FF11" i="54"/>
  <c r="FK11" i="54" s="1"/>
  <c r="FF17" i="54"/>
  <c r="FH11" i="54"/>
  <c r="FM11" i="54" s="1"/>
  <c r="FI13" i="54"/>
  <c r="FN13" i="54" s="1"/>
  <c r="FJ17" i="54"/>
  <c r="FF12" i="54"/>
  <c r="FK12" i="54" s="1"/>
  <c r="FG13" i="54"/>
  <c r="FL13" i="54" s="1"/>
  <c r="FG11" i="54"/>
  <c r="FL11" i="54" s="1"/>
  <c r="FG17" i="54"/>
  <c r="FG12" i="54"/>
  <c r="FL12" i="54" s="1"/>
  <c r="FI12" i="54"/>
  <c r="FN12" i="54" s="1"/>
  <c r="FI17" i="54"/>
  <c r="FI10" i="54"/>
  <c r="FN10" i="54" s="1"/>
  <c r="FH12" i="54"/>
  <c r="FM12" i="54" s="1"/>
  <c r="HG16" i="54"/>
  <c r="CQ17" i="54"/>
  <c r="CZ17" i="54" s="1"/>
  <c r="HD9" i="54"/>
  <c r="HF9" i="54"/>
  <c r="HF13" i="54"/>
  <c r="HD13" i="54"/>
  <c r="HD11" i="54"/>
  <c r="HF11" i="54"/>
  <c r="HD12" i="54"/>
  <c r="HF12" i="54"/>
  <c r="HD8" i="54"/>
  <c r="HF8" i="54"/>
  <c r="HF10" i="54"/>
  <c r="HJ10" i="54" s="1"/>
  <c r="HD10" i="54"/>
  <c r="HF7" i="54"/>
  <c r="HD7" i="54"/>
  <c r="HF14" i="54"/>
  <c r="HD14" i="54"/>
  <c r="CQ16" i="54"/>
  <c r="BM7" i="54"/>
  <c r="BM14" i="54"/>
  <c r="BM8" i="54"/>
  <c r="BM9" i="54"/>
  <c r="BM13" i="54"/>
  <c r="BM11" i="54"/>
  <c r="BM10" i="54"/>
  <c r="CO12" i="54"/>
  <c r="CR12" i="54" s="1"/>
  <c r="CO11" i="54"/>
  <c r="CQ11" i="54" s="1"/>
  <c r="CO13" i="54"/>
  <c r="CQ13" i="54" s="1"/>
  <c r="CO10" i="54"/>
  <c r="CQ10" i="54" s="1"/>
  <c r="CO9" i="54"/>
  <c r="CR9" i="54" s="1"/>
  <c r="CO8" i="54"/>
  <c r="CR8" i="54" s="1"/>
  <c r="CO7" i="54"/>
  <c r="CO14" i="54"/>
  <c r="CR14" i="54" s="1"/>
  <c r="BL13" i="54"/>
  <c r="BL8" i="54"/>
  <c r="BL9" i="54"/>
  <c r="BL7" i="54"/>
  <c r="BL11" i="54"/>
  <c r="BL14" i="54"/>
  <c r="BL10" i="54"/>
  <c r="DB17" i="54" l="1"/>
  <c r="DE17" i="54" s="1"/>
  <c r="JI17" i="54"/>
  <c r="JK17" i="54"/>
  <c r="FS17" i="54"/>
  <c r="HI11" i="54"/>
  <c r="DB16" i="54"/>
  <c r="HJ14" i="54"/>
  <c r="HV14" i="54" s="1"/>
  <c r="CR7" i="54"/>
  <c r="CW25" i="54"/>
  <c r="CW26" i="54" s="1"/>
  <c r="CW27" i="54" s="1"/>
  <c r="CW28" i="54" s="1"/>
  <c r="HJ8" i="54"/>
  <c r="HI12" i="54"/>
  <c r="HJ13" i="54"/>
  <c r="HT13" i="54" s="1"/>
  <c r="HI16" i="54"/>
  <c r="HI9" i="54"/>
  <c r="HI8" i="54"/>
  <c r="HJ9" i="54"/>
  <c r="HX17" i="54"/>
  <c r="HT17" i="54"/>
  <c r="HP17" i="54"/>
  <c r="HX14" i="54"/>
  <c r="HX12" i="54"/>
  <c r="HT12" i="54"/>
  <c r="HP12" i="54"/>
  <c r="HV11" i="54"/>
  <c r="HR11" i="54"/>
  <c r="HX10" i="54"/>
  <c r="HT10" i="54"/>
  <c r="HX8" i="54"/>
  <c r="HR17" i="54"/>
  <c r="HR12" i="54"/>
  <c r="HT11" i="54"/>
  <c r="HV10" i="54"/>
  <c r="HW17" i="54"/>
  <c r="HS17" i="54"/>
  <c r="HO17" i="54"/>
  <c r="HV17" i="54"/>
  <c r="HV12" i="54"/>
  <c r="HX11" i="54"/>
  <c r="HP11" i="54"/>
  <c r="HR10" i="54"/>
  <c r="HU17" i="54"/>
  <c r="HW11" i="54"/>
  <c r="HQ17" i="54"/>
  <c r="HG12" i="54"/>
  <c r="HG14" i="54"/>
  <c r="HG10" i="54"/>
  <c r="HG13" i="54"/>
  <c r="HG8" i="54"/>
  <c r="HG11" i="54"/>
  <c r="HG9" i="54"/>
  <c r="HG7" i="54"/>
  <c r="HJ7" i="54"/>
  <c r="HP10" i="54" s="1"/>
  <c r="HJ16" i="54"/>
  <c r="HI14" i="54"/>
  <c r="HI10" i="54"/>
  <c r="HI13" i="54"/>
  <c r="HI7" i="54"/>
  <c r="BM18" i="54"/>
  <c r="BM19" i="54" s="1"/>
  <c r="BH24" i="54" s="1"/>
  <c r="CR13" i="54"/>
  <c r="CZ13" i="54" s="1"/>
  <c r="CR10" i="54"/>
  <c r="CZ10" i="54" s="1"/>
  <c r="DB10" i="54" s="1"/>
  <c r="DE10" i="54" s="1"/>
  <c r="CQ12" i="54"/>
  <c r="CZ12" i="54" s="1"/>
  <c r="CQ8" i="54"/>
  <c r="CZ8" i="54" s="1"/>
  <c r="CQ14" i="54"/>
  <c r="CZ14" i="54" s="1"/>
  <c r="DB14" i="54" s="1"/>
  <c r="DE14" i="54" s="1"/>
  <c r="CR11" i="54"/>
  <c r="CQ9" i="54"/>
  <c r="CQ7" i="54"/>
  <c r="FU17" i="54" l="1"/>
  <c r="JM17" i="54"/>
  <c r="HS11" i="54"/>
  <c r="DD17" i="54"/>
  <c r="DF17" i="54" s="1"/>
  <c r="HX13" i="54"/>
  <c r="HW14" i="54"/>
  <c r="HU11" i="54"/>
  <c r="HO11" i="54"/>
  <c r="HQ11" i="54"/>
  <c r="DE16" i="54"/>
  <c r="DD16" i="54"/>
  <c r="DF16" i="54" s="1"/>
  <c r="CW29" i="54"/>
  <c r="CW30" i="54"/>
  <c r="HR14" i="54"/>
  <c r="HP14" i="54"/>
  <c r="HT14" i="54"/>
  <c r="HR16" i="54"/>
  <c r="CZ7" i="54"/>
  <c r="DB7" i="54" s="1"/>
  <c r="DE7" i="54" s="1"/>
  <c r="HV8" i="54"/>
  <c r="HV9" i="54"/>
  <c r="HT8" i="54"/>
  <c r="HP8" i="54"/>
  <c r="HR8" i="54"/>
  <c r="BH26" i="54"/>
  <c r="HW10" i="54"/>
  <c r="HW12" i="54"/>
  <c r="HR13" i="54"/>
  <c r="HO12" i="54"/>
  <c r="HU12" i="54"/>
  <c r="HS12" i="54"/>
  <c r="HQ12" i="54"/>
  <c r="HV13" i="54"/>
  <c r="HP13" i="54"/>
  <c r="HU16" i="54"/>
  <c r="HV7" i="54"/>
  <c r="HW13" i="54"/>
  <c r="HW9" i="54"/>
  <c r="HW7" i="54"/>
  <c r="HX7" i="54"/>
  <c r="HX16" i="54"/>
  <c r="HW16" i="54"/>
  <c r="HW8" i="54"/>
  <c r="HX9" i="54"/>
  <c r="HS16" i="54"/>
  <c r="HQ16" i="54"/>
  <c r="HO16" i="54"/>
  <c r="HU13" i="54"/>
  <c r="HQ9" i="54"/>
  <c r="HU10" i="54"/>
  <c r="HU14" i="54"/>
  <c r="HU7" i="54"/>
  <c r="HU8" i="54"/>
  <c r="HS10" i="54"/>
  <c r="HU9" i="54"/>
  <c r="HV16" i="54"/>
  <c r="HO9" i="54"/>
  <c r="HS9" i="54"/>
  <c r="HT9" i="54"/>
  <c r="HO8" i="54"/>
  <c r="HQ8" i="54"/>
  <c r="HS8" i="54"/>
  <c r="HS7" i="54"/>
  <c r="HR9" i="54"/>
  <c r="HP9" i="54"/>
  <c r="HQ14" i="54"/>
  <c r="HQ7" i="54"/>
  <c r="DS12" i="54"/>
  <c r="DT12" i="54" s="1"/>
  <c r="DU12" i="54" s="1"/>
  <c r="DS9" i="54"/>
  <c r="DT9" i="54" s="1"/>
  <c r="DU9" i="54" s="1"/>
  <c r="DS8" i="54"/>
  <c r="DT8" i="54" s="1"/>
  <c r="DU8" i="54" s="1"/>
  <c r="DS11" i="54"/>
  <c r="DT11" i="54" s="1"/>
  <c r="DU11" i="54" s="1"/>
  <c r="HS13" i="54"/>
  <c r="HT7" i="54"/>
  <c r="HS14" i="54"/>
  <c r="HT16" i="54"/>
  <c r="HR7" i="54"/>
  <c r="HQ10" i="54"/>
  <c r="HO10" i="54"/>
  <c r="HQ13" i="54"/>
  <c r="HO13" i="54"/>
  <c r="HP7" i="54"/>
  <c r="HO7" i="54"/>
  <c r="HO14" i="54"/>
  <c r="HP16" i="54"/>
  <c r="DS10" i="54"/>
  <c r="DT10" i="54" s="1"/>
  <c r="DU10" i="54" s="1"/>
  <c r="DS16" i="54"/>
  <c r="DT16" i="54" s="1"/>
  <c r="DU16" i="54" s="1"/>
  <c r="DS7" i="54"/>
  <c r="DT7" i="54" s="1"/>
  <c r="DU7" i="54" s="1"/>
  <c r="DS13" i="54"/>
  <c r="DT13" i="54" s="1"/>
  <c r="DU13" i="54" s="1"/>
  <c r="DS14" i="54"/>
  <c r="DT14" i="54" s="1"/>
  <c r="DU14" i="54" s="1"/>
  <c r="CZ9" i="54"/>
  <c r="DB9" i="54" s="1"/>
  <c r="DE9" i="54" s="1"/>
  <c r="CZ11" i="54"/>
  <c r="DB12" i="54"/>
  <c r="DE12" i="54" s="1"/>
  <c r="DB13" i="54"/>
  <c r="DE13" i="54" s="1"/>
  <c r="DB8" i="54"/>
  <c r="DE8" i="54" s="1"/>
  <c r="DD10" i="54"/>
  <c r="DD14" i="54"/>
  <c r="JN17" i="54" l="1"/>
  <c r="JQ17" i="54"/>
  <c r="JO17" i="54"/>
  <c r="FY17" i="54"/>
  <c r="FW17" i="54"/>
  <c r="FV17" i="54"/>
  <c r="DD7" i="54"/>
  <c r="IW13" i="54"/>
  <c r="IW17" i="54"/>
  <c r="IW10" i="54"/>
  <c r="IW16" i="54"/>
  <c r="IV17" i="54"/>
  <c r="IW8" i="54"/>
  <c r="IW9" i="54"/>
  <c r="IW11" i="54"/>
  <c r="IW14" i="54"/>
  <c r="IW7" i="54"/>
  <c r="IW12" i="54"/>
  <c r="IR12" i="54"/>
  <c r="IR11" i="54"/>
  <c r="IQ10" i="54"/>
  <c r="IV8" i="54"/>
  <c r="IV9" i="54"/>
  <c r="IR16" i="54"/>
  <c r="IV10" i="54"/>
  <c r="IR14" i="54"/>
  <c r="IR17" i="54"/>
  <c r="IV11" i="54"/>
  <c r="IQ16" i="54"/>
  <c r="IR13" i="54"/>
  <c r="IQ7" i="54"/>
  <c r="IQ17" i="54"/>
  <c r="IQ12" i="54"/>
  <c r="IV12" i="54"/>
  <c r="IV14" i="54"/>
  <c r="IV16" i="54"/>
  <c r="IR8" i="54"/>
  <c r="IQ14" i="54"/>
  <c r="IR10" i="54"/>
  <c r="IR7" i="54"/>
  <c r="IQ13" i="54"/>
  <c r="IV13" i="54"/>
  <c r="IV7" i="54"/>
  <c r="IQ9" i="54"/>
  <c r="IR9" i="54"/>
  <c r="IQ11" i="54"/>
  <c r="IQ8" i="54"/>
  <c r="IO10" i="54"/>
  <c r="IM16" i="54"/>
  <c r="IL11" i="54"/>
  <c r="IU12" i="54"/>
  <c r="IM13" i="54"/>
  <c r="IP11" i="54"/>
  <c r="IL8" i="54"/>
  <c r="IL10" i="54"/>
  <c r="IL14" i="54"/>
  <c r="IP16" i="54"/>
  <c r="IU11" i="54"/>
  <c r="IL16" i="54"/>
  <c r="IL13" i="54"/>
  <c r="IP10" i="54"/>
  <c r="IH14" i="54"/>
  <c r="IU9" i="54"/>
  <c r="IU10" i="54"/>
  <c r="IU14" i="54"/>
  <c r="IU16" i="54"/>
  <c r="IK11" i="54"/>
  <c r="IK8" i="54"/>
  <c r="IL9" i="54"/>
  <c r="IP12" i="54"/>
  <c r="IK9" i="54"/>
  <c r="IK10" i="54"/>
  <c r="IP17" i="54"/>
  <c r="IP13" i="54"/>
  <c r="IM9" i="54"/>
  <c r="IK13" i="54"/>
  <c r="IK7" i="54"/>
  <c r="IL17" i="54"/>
  <c r="IM11" i="54"/>
  <c r="IM17" i="54"/>
  <c r="IM12" i="54"/>
  <c r="IP7" i="54"/>
  <c r="IP9" i="54"/>
  <c r="IP14" i="54"/>
  <c r="IU7" i="54"/>
  <c r="IU8" i="54"/>
  <c r="IU13" i="54"/>
  <c r="IK12" i="54"/>
  <c r="IK17" i="54"/>
  <c r="IK14" i="54"/>
  <c r="IK16" i="54"/>
  <c r="IP8" i="54"/>
  <c r="IU17" i="54"/>
  <c r="IM10" i="54"/>
  <c r="IM14" i="54"/>
  <c r="IL7" i="54"/>
  <c r="IM7" i="54"/>
  <c r="IL12" i="54"/>
  <c r="IM8" i="54"/>
  <c r="IH16" i="54"/>
  <c r="IF16" i="54"/>
  <c r="IF12" i="54"/>
  <c r="IG16" i="54"/>
  <c r="IF17" i="54"/>
  <c r="IF8" i="54"/>
  <c r="IH11" i="54"/>
  <c r="IF9" i="54"/>
  <c r="IH8" i="54"/>
  <c r="ID12" i="54"/>
  <c r="IE12" i="54"/>
  <c r="IT14" i="54"/>
  <c r="IO12" i="54"/>
  <c r="IN11" i="54"/>
  <c r="IG7" i="54"/>
  <c r="IG17" i="54"/>
  <c r="IG12" i="54"/>
  <c r="IG9" i="54"/>
  <c r="IE17" i="54"/>
  <c r="IE13" i="54"/>
  <c r="IT8" i="54"/>
  <c r="II11" i="54"/>
  <c r="IO13" i="54"/>
  <c r="IB17" i="54"/>
  <c r="IC16" i="54"/>
  <c r="IA12" i="54"/>
  <c r="IB11" i="54"/>
  <c r="IC10" i="54"/>
  <c r="IA8" i="54"/>
  <c r="IA7" i="54"/>
  <c r="IA17" i="54"/>
  <c r="IB16" i="54"/>
  <c r="IC14" i="54"/>
  <c r="IC13" i="54"/>
  <c r="HZ12" i="54"/>
  <c r="IA11" i="54"/>
  <c r="IB10" i="54"/>
  <c r="IC9" i="54"/>
  <c r="HZ8" i="54"/>
  <c r="HY12" i="54"/>
  <c r="HZ11" i="54"/>
  <c r="IA10" i="54"/>
  <c r="IB9" i="54"/>
  <c r="IC8" i="54"/>
  <c r="IC7" i="54"/>
  <c r="IB12" i="54"/>
  <c r="IC17" i="54"/>
  <c r="HY11" i="54"/>
  <c r="HZ10" i="54"/>
  <c r="IA9" i="54"/>
  <c r="IB8" i="54"/>
  <c r="IB7" i="54"/>
  <c r="HZ17" i="54"/>
  <c r="IA16" i="54"/>
  <c r="IB14" i="54"/>
  <c r="IB13" i="54"/>
  <c r="IC12" i="54"/>
  <c r="HY17" i="54"/>
  <c r="HZ16" i="54"/>
  <c r="IA14" i="54"/>
  <c r="IA13" i="54"/>
  <c r="IC11" i="54"/>
  <c r="IH7" i="54"/>
  <c r="ID11" i="54"/>
  <c r="IH10" i="54"/>
  <c r="IE14" i="54"/>
  <c r="IG13" i="54"/>
  <c r="IF10" i="54"/>
  <c r="IH13" i="54"/>
  <c r="IF7" i="54"/>
  <c r="IG10" i="54"/>
  <c r="IT11" i="54"/>
  <c r="IS7" i="54"/>
  <c r="IT12" i="54"/>
  <c r="IT9" i="54"/>
  <c r="IJ16" i="54"/>
  <c r="IJ11" i="54"/>
  <c r="IO7" i="54"/>
  <c r="IN9" i="54"/>
  <c r="IN12" i="54"/>
  <c r="IN10" i="54"/>
  <c r="IN17" i="54"/>
  <c r="IE16" i="54"/>
  <c r="IT10" i="54"/>
  <c r="IS17" i="54"/>
  <c r="IJ14" i="54"/>
  <c r="IJ8" i="54"/>
  <c r="IO17" i="54"/>
  <c r="IF13" i="54"/>
  <c r="ID17" i="54"/>
  <c r="IH12" i="54"/>
  <c r="IH9" i="54"/>
  <c r="IS11" i="54"/>
  <c r="IT7" i="54"/>
  <c r="IJ17" i="54"/>
  <c r="IO8" i="54"/>
  <c r="IO11" i="54"/>
  <c r="IG8" i="54"/>
  <c r="IH17" i="54"/>
  <c r="IG11" i="54"/>
  <c r="IF14" i="54"/>
  <c r="IE11" i="54"/>
  <c r="IG14" i="54"/>
  <c r="IE8" i="54"/>
  <c r="IF11" i="54"/>
  <c r="IS12" i="54"/>
  <c r="IT16" i="54"/>
  <c r="IT17" i="54"/>
  <c r="IT13" i="54"/>
  <c r="IS10" i="54"/>
  <c r="IJ12" i="54"/>
  <c r="II17" i="54"/>
  <c r="II12" i="54"/>
  <c r="IN13" i="54"/>
  <c r="IO14" i="54"/>
  <c r="BH27" i="54"/>
  <c r="DD9" i="54"/>
  <c r="DB11" i="54"/>
  <c r="DE11" i="54" s="1"/>
  <c r="DE18" i="54" s="1"/>
  <c r="DD8" i="54"/>
  <c r="DD12" i="54"/>
  <c r="DD13" i="54"/>
  <c r="CX29" i="54"/>
  <c r="DE19" i="54" l="1"/>
  <c r="CZ24" i="54" s="1"/>
  <c r="HK12" i="54"/>
  <c r="HL12" i="54" s="1"/>
  <c r="HM12" i="54" s="1"/>
  <c r="HK9" i="54"/>
  <c r="HL9" i="54" s="1"/>
  <c r="HM9" i="54" s="1"/>
  <c r="HK8" i="54"/>
  <c r="HL8" i="54" s="1"/>
  <c r="HM8" i="54" s="1"/>
  <c r="HK11" i="54"/>
  <c r="HL11" i="54" s="1"/>
  <c r="HM11" i="54" s="1"/>
  <c r="JB10" i="54"/>
  <c r="JG10" i="54" s="1"/>
  <c r="JB12" i="54"/>
  <c r="JG12" i="54" s="1"/>
  <c r="JA10" i="54"/>
  <c r="JF10" i="54" s="1"/>
  <c r="IZ12" i="54"/>
  <c r="JE12" i="54" s="1"/>
  <c r="JA13" i="54"/>
  <c r="JF13" i="54" s="1"/>
  <c r="JA12" i="54"/>
  <c r="JF12" i="54" s="1"/>
  <c r="IX11" i="54"/>
  <c r="JC11" i="54" s="1"/>
  <c r="IX12" i="54"/>
  <c r="JC12" i="54" s="1"/>
  <c r="JA17" i="54"/>
  <c r="IX17" i="54"/>
  <c r="IZ11" i="54"/>
  <c r="JE11" i="54" s="1"/>
  <c r="IY17" i="54"/>
  <c r="JB17" i="54"/>
  <c r="JB11" i="54"/>
  <c r="JG11" i="54" s="1"/>
  <c r="IY11" i="54"/>
  <c r="JD11" i="54" s="1"/>
  <c r="IZ17" i="54"/>
  <c r="JB7" i="54"/>
  <c r="JG7" i="54" s="1"/>
  <c r="JA11" i="54"/>
  <c r="JF11" i="54" s="1"/>
  <c r="IY12" i="54"/>
  <c r="JD12" i="54" s="1"/>
  <c r="HH7" i="54"/>
  <c r="HK16" i="54"/>
  <c r="HK14" i="54"/>
  <c r="HK10" i="54"/>
  <c r="HK13" i="54"/>
  <c r="HK7" i="54"/>
  <c r="DD11" i="54"/>
  <c r="HH9" i="54"/>
  <c r="HH12" i="54"/>
  <c r="HH11" i="54"/>
  <c r="HH8" i="54"/>
  <c r="HH10" i="54"/>
  <c r="HH16" i="54"/>
  <c r="HH14" i="54"/>
  <c r="HH13" i="54"/>
  <c r="HN12" i="54" l="1"/>
  <c r="CZ26" i="54"/>
  <c r="HN11" i="54"/>
  <c r="HN9" i="54"/>
  <c r="HY9" i="54" s="1"/>
  <c r="HN8" i="54"/>
  <c r="HY8" i="54" s="1"/>
  <c r="IX8" i="54" s="1"/>
  <c r="JC8" i="54" s="1"/>
  <c r="JK11" i="54"/>
  <c r="JI11" i="54"/>
  <c r="HL10" i="54"/>
  <c r="HM10" i="54" s="1"/>
  <c r="HN10" i="54" s="1"/>
  <c r="HY10" i="54" s="1"/>
  <c r="IX10" i="54" s="1"/>
  <c r="JC10" i="54" s="1"/>
  <c r="HL14" i="54"/>
  <c r="HM14" i="54" s="1"/>
  <c r="HN14" i="54" s="1"/>
  <c r="HY14" i="54" s="1"/>
  <c r="HL13" i="54"/>
  <c r="HM13" i="54" s="1"/>
  <c r="HN13" i="54" s="1"/>
  <c r="HY13" i="54" s="1"/>
  <c r="HL7" i="54"/>
  <c r="HM7" i="54" s="1"/>
  <c r="HN7" i="54" s="1"/>
  <c r="HY7" i="54" s="1"/>
  <c r="HL16" i="54"/>
  <c r="HM16" i="54" s="1"/>
  <c r="HN16" i="54" s="1"/>
  <c r="HY16" i="54" s="1"/>
  <c r="IX16" i="54" s="1"/>
  <c r="JC16" i="54" s="1"/>
  <c r="HZ13" i="54" l="1"/>
  <c r="IX13" i="54" s="1"/>
  <c r="JC13" i="54" s="1"/>
  <c r="HZ9" i="54"/>
  <c r="IX9" i="54" s="1"/>
  <c r="JC9" i="54" s="1"/>
  <c r="ID8" i="54"/>
  <c r="IY8" i="54" s="1"/>
  <c r="JD8" i="54" s="1"/>
  <c r="ID9" i="54"/>
  <c r="ID14" i="54"/>
  <c r="IY14" i="54" s="1"/>
  <c r="JD14" i="54" s="1"/>
  <c r="JM11" i="54"/>
  <c r="JO11" i="54" s="1"/>
  <c r="II13" i="54"/>
  <c r="ID16" i="54"/>
  <c r="IY16" i="54" s="1"/>
  <c r="JD16" i="54" s="1"/>
  <c r="ID10" i="54"/>
  <c r="HZ14" i="54"/>
  <c r="IX14" i="54" s="1"/>
  <c r="JC14" i="54" s="1"/>
  <c r="HZ7" i="54"/>
  <c r="ID13" i="54"/>
  <c r="IY13" i="54" s="1"/>
  <c r="JD13" i="54" s="1"/>
  <c r="ID7" i="54"/>
  <c r="JI12" i="54"/>
  <c r="JK12" i="54"/>
  <c r="II16" i="54" l="1"/>
  <c r="IZ16" i="54" s="1"/>
  <c r="JE16" i="54" s="1"/>
  <c r="IE9" i="54"/>
  <c r="IY9" i="54" s="1"/>
  <c r="II10" i="54"/>
  <c r="II8" i="54"/>
  <c r="IZ8" i="54" s="1"/>
  <c r="JE8" i="54" s="1"/>
  <c r="II7" i="54"/>
  <c r="II14" i="54"/>
  <c r="IZ14" i="54" s="1"/>
  <c r="JE14" i="54" s="1"/>
  <c r="II9" i="54"/>
  <c r="JQ11" i="54"/>
  <c r="JN11" i="54"/>
  <c r="IE10" i="54"/>
  <c r="IY10" i="54" s="1"/>
  <c r="JD10" i="54" s="1"/>
  <c r="IE7" i="54"/>
  <c r="IJ13" i="54" s="1"/>
  <c r="IZ13" i="54" s="1"/>
  <c r="JE13" i="54" s="1"/>
  <c r="IX7" i="54"/>
  <c r="JC7" i="54" s="1"/>
  <c r="JM12" i="54"/>
  <c r="JD9" i="54" l="1"/>
  <c r="IN16" i="54"/>
  <c r="IJ10" i="54"/>
  <c r="IZ10" i="54" s="1"/>
  <c r="JE10" i="54" s="1"/>
  <c r="IJ9" i="54"/>
  <c r="IZ9" i="54" s="1"/>
  <c r="JE9" i="54" s="1"/>
  <c r="IN14" i="54"/>
  <c r="JA14" i="54" s="1"/>
  <c r="JF14" i="54" s="1"/>
  <c r="IN7" i="54"/>
  <c r="IN8" i="54"/>
  <c r="JA8" i="54" s="1"/>
  <c r="JF8" i="54" s="1"/>
  <c r="IS8" i="54"/>
  <c r="JB8" i="54" s="1"/>
  <c r="JG8" i="54" s="1"/>
  <c r="IJ7" i="54"/>
  <c r="IZ7" i="54" s="1"/>
  <c r="JE7" i="54" s="1"/>
  <c r="IY7" i="54"/>
  <c r="JD7" i="54" s="1"/>
  <c r="JN12" i="54"/>
  <c r="JQ12" i="54"/>
  <c r="JO12" i="54"/>
  <c r="IO9" i="54" l="1"/>
  <c r="JA9" i="54" s="1"/>
  <c r="JF9" i="54" s="1"/>
  <c r="IO16" i="54"/>
  <c r="JA16" i="54" s="1"/>
  <c r="JF16" i="54" s="1"/>
  <c r="JK10" i="54"/>
  <c r="JI10" i="54"/>
  <c r="JA7" i="54"/>
  <c r="JF7" i="54" s="1"/>
  <c r="JK7" i="54" s="1"/>
  <c r="IS14" i="54"/>
  <c r="JB14" i="54" s="1"/>
  <c r="JG14" i="54" s="1"/>
  <c r="JI8" i="54"/>
  <c r="JK8" i="54"/>
  <c r="IS9" i="54"/>
  <c r="JB9" i="54" s="1"/>
  <c r="JG9" i="54" s="1"/>
  <c r="IS16" i="54"/>
  <c r="JB16" i="54" s="1"/>
  <c r="JG16" i="54" s="1"/>
  <c r="IS13" i="54"/>
  <c r="JB13" i="54" s="1"/>
  <c r="JG13" i="54" s="1"/>
  <c r="JI16" i="54" l="1"/>
  <c r="JM16" i="54" s="1"/>
  <c r="JK16" i="54"/>
  <c r="JM10" i="54"/>
  <c r="JI7" i="54"/>
  <c r="JM7" i="54" s="1"/>
  <c r="JN7" i="54" s="1"/>
  <c r="JE20" i="54"/>
  <c r="JE21" i="54" s="1"/>
  <c r="JM8" i="54"/>
  <c r="JN8" i="54" s="1"/>
  <c r="JK13" i="54"/>
  <c r="JI13" i="54"/>
  <c r="JK14" i="54"/>
  <c r="JI14" i="54"/>
  <c r="JK9" i="54"/>
  <c r="JI9" i="54"/>
  <c r="DP12" i="54"/>
  <c r="DV12" i="54" s="1"/>
  <c r="DP9" i="54"/>
  <c r="DV9" i="54" s="1"/>
  <c r="EG9" i="54" s="1"/>
  <c r="DP8" i="54"/>
  <c r="DV8" i="54" s="1"/>
  <c r="EG8" i="54" s="1"/>
  <c r="FF8" i="54" s="1"/>
  <c r="FK8" i="54" s="1"/>
  <c r="DP11" i="54"/>
  <c r="DV11" i="54" s="1"/>
  <c r="BF28" i="54"/>
  <c r="DP16" i="54"/>
  <c r="DV16" i="54" s="1"/>
  <c r="EG16" i="54" s="1"/>
  <c r="FF16" i="54" s="1"/>
  <c r="DP13" i="54"/>
  <c r="DV13" i="54" s="1"/>
  <c r="EG13" i="54" s="1"/>
  <c r="DP7" i="54"/>
  <c r="DV7" i="54" s="1"/>
  <c r="EG7" i="54" s="1"/>
  <c r="DP14" i="54"/>
  <c r="DV14" i="54" s="1"/>
  <c r="EG14" i="54" s="1"/>
  <c r="DP10" i="54"/>
  <c r="DV10" i="54" s="1"/>
  <c r="EG10" i="54" s="1"/>
  <c r="FF10" i="54" s="1"/>
  <c r="FK10" i="54" s="1"/>
  <c r="FK16" i="54" l="1"/>
  <c r="EH9" i="54"/>
  <c r="FF9" i="54" s="1"/>
  <c r="FK9" i="54" s="1"/>
  <c r="EH13" i="54"/>
  <c r="FF13" i="54" s="1"/>
  <c r="FK13" i="54" s="1"/>
  <c r="KD2" i="54"/>
  <c r="JO16" i="54"/>
  <c r="JM14" i="54"/>
  <c r="JO14" i="54" s="1"/>
  <c r="JO8" i="54"/>
  <c r="JQ8" i="54"/>
  <c r="JM9" i="54"/>
  <c r="JO9" i="54" s="1"/>
  <c r="EL7" i="54"/>
  <c r="JM13" i="54"/>
  <c r="EL8" i="54"/>
  <c r="FG8" i="54" s="1"/>
  <c r="FL8" i="54" s="1"/>
  <c r="EL14" i="54"/>
  <c r="FG14" i="54" s="1"/>
  <c r="FL14" i="54" s="1"/>
  <c r="EL9" i="54"/>
  <c r="JQ7" i="54"/>
  <c r="EH7" i="54"/>
  <c r="EH14" i="54"/>
  <c r="EL16" i="54"/>
  <c r="FG16" i="54" s="1"/>
  <c r="EQ13" i="54"/>
  <c r="EL10" i="54"/>
  <c r="CZ27" i="54"/>
  <c r="EM7" i="54" l="1"/>
  <c r="FG7" i="54" s="1"/>
  <c r="FF7" i="54"/>
  <c r="FK7" i="54" s="1"/>
  <c r="EM9" i="54"/>
  <c r="FG9" i="54" s="1"/>
  <c r="EQ10" i="54"/>
  <c r="JN14" i="54"/>
  <c r="JQ16" i="54"/>
  <c r="JQ14" i="54"/>
  <c r="JN16" i="54"/>
  <c r="JQ9" i="54"/>
  <c r="JN9" i="54"/>
  <c r="EQ7" i="54"/>
  <c r="EQ8" i="54"/>
  <c r="FH8" i="54" s="1"/>
  <c r="FM8" i="54" s="1"/>
  <c r="EQ14" i="54"/>
  <c r="FH14" i="54" s="1"/>
  <c r="FM14" i="54" s="1"/>
  <c r="EQ9" i="54"/>
  <c r="EQ16" i="54"/>
  <c r="FH16" i="54" s="1"/>
  <c r="FF14" i="54"/>
  <c r="FK14" i="54" s="1"/>
  <c r="EM10" i="54"/>
  <c r="ER7" i="54" s="1"/>
  <c r="FL16" i="54" l="1"/>
  <c r="ER10" i="54"/>
  <c r="FH10" i="54" s="1"/>
  <c r="FM10" i="54" s="1"/>
  <c r="ER9" i="54"/>
  <c r="FH9" i="54" s="1"/>
  <c r="FM9" i="54" s="1"/>
  <c r="FH7" i="54"/>
  <c r="FM7" i="54" s="1"/>
  <c r="EV8" i="54"/>
  <c r="FI8" i="54" s="1"/>
  <c r="EV7" i="54"/>
  <c r="FA13" i="54" s="1"/>
  <c r="FJ13" i="54" s="1"/>
  <c r="FO13" i="54" s="1"/>
  <c r="EV14" i="54"/>
  <c r="FI14" i="54" s="1"/>
  <c r="FN14" i="54" s="1"/>
  <c r="EV16" i="54"/>
  <c r="FM16" i="54"/>
  <c r="FG10" i="54"/>
  <c r="FL9" i="54" s="1"/>
  <c r="ER13" i="54"/>
  <c r="FH13" i="54" s="1"/>
  <c r="EW9" i="54" l="1"/>
  <c r="FI9" i="54" s="1"/>
  <c r="FN9" i="54" s="1"/>
  <c r="EW16" i="54"/>
  <c r="FI16" i="54" s="1"/>
  <c r="FL7" i="54"/>
  <c r="FN8" i="54"/>
  <c r="FA10" i="54"/>
  <c r="FJ10" i="54" s="1"/>
  <c r="FO10" i="54" s="1"/>
  <c r="FA11" i="54"/>
  <c r="FJ11" i="54" s="1"/>
  <c r="FI7" i="54"/>
  <c r="FA16" i="54"/>
  <c r="FJ16" i="54" s="1"/>
  <c r="FO16" i="54" s="1"/>
  <c r="FA8" i="54"/>
  <c r="FJ8" i="54" s="1"/>
  <c r="FO8" i="54" s="1"/>
  <c r="FA7" i="54"/>
  <c r="FJ7" i="54" s="1"/>
  <c r="FO7" i="54" s="1"/>
  <c r="FA9" i="54"/>
  <c r="FJ9" i="54" s="1"/>
  <c r="FA12" i="54"/>
  <c r="FJ12" i="54" s="1"/>
  <c r="FA14" i="54"/>
  <c r="FJ14" i="54" s="1"/>
  <c r="FO14" i="54" s="1"/>
  <c r="FQ14" i="54" s="1"/>
  <c r="FL10" i="54"/>
  <c r="FQ10" i="54" s="1"/>
  <c r="FM13" i="54"/>
  <c r="FQ13" i="54" s="1"/>
  <c r="FS13" i="54"/>
  <c r="JQ13" i="54"/>
  <c r="JN13" i="54"/>
  <c r="JQ10" i="54"/>
  <c r="JN10" i="54"/>
  <c r="JO7" i="54"/>
  <c r="JO13" i="54"/>
  <c r="JO10" i="54"/>
  <c r="FQ8" i="54" l="1"/>
  <c r="FN16" i="54"/>
  <c r="FS16" i="54"/>
  <c r="FU16" i="54"/>
  <c r="FS14" i="54"/>
  <c r="FO12" i="54"/>
  <c r="FQ12" i="54" s="1"/>
  <c r="FS12" i="54"/>
  <c r="FO9" i="54"/>
  <c r="FQ9" i="54" s="1"/>
  <c r="FS9" i="54"/>
  <c r="FN7" i="54"/>
  <c r="FQ7" i="54" s="1"/>
  <c r="FS7" i="54"/>
  <c r="FS8" i="54"/>
  <c r="FS10" i="54"/>
  <c r="FO11" i="54"/>
  <c r="FQ11" i="54" s="1"/>
  <c r="FS11" i="54"/>
  <c r="FU13" i="54"/>
  <c r="JP10" i="54"/>
  <c r="JR10" i="54" s="1"/>
  <c r="JP16" i="54"/>
  <c r="JR16" i="54" s="1"/>
  <c r="JP14" i="54"/>
  <c r="JR14" i="54" s="1"/>
  <c r="JP7" i="54"/>
  <c r="JR7" i="54" s="1"/>
  <c r="JP17" i="54"/>
  <c r="JR17" i="54" s="1"/>
  <c r="JP11" i="54"/>
  <c r="JR11" i="54" s="1"/>
  <c r="JP12" i="54"/>
  <c r="JR12" i="54" s="1"/>
  <c r="JP9" i="54"/>
  <c r="JR9" i="54" s="1"/>
  <c r="JP8" i="54"/>
  <c r="JR8" i="54" s="1"/>
  <c r="JP13" i="54"/>
  <c r="JR13" i="54" s="1"/>
  <c r="JV17" i="54" l="1"/>
  <c r="JW17" i="54"/>
  <c r="FU10" i="54"/>
  <c r="FW10" i="54" s="1"/>
  <c r="FV16" i="54"/>
  <c r="FM20" i="54"/>
  <c r="FU14" i="54"/>
  <c r="FV14" i="54" s="1"/>
  <c r="FU9" i="54"/>
  <c r="FU12" i="54"/>
  <c r="FV12" i="54" s="1"/>
  <c r="FU11" i="54"/>
  <c r="FU8" i="54"/>
  <c r="FU7" i="54"/>
  <c r="FY13" i="54"/>
  <c r="FV13" i="54"/>
  <c r="FW13" i="54"/>
  <c r="JW12" i="54"/>
  <c r="KF12" i="54" s="1"/>
  <c r="JZ12" i="54" s="1"/>
  <c r="JV12" i="54"/>
  <c r="KE12" i="54" s="1"/>
  <c r="JY12" i="54" s="1"/>
  <c r="JW14" i="54"/>
  <c r="KF14" i="54" s="1"/>
  <c r="JZ14" i="54" s="1"/>
  <c r="JV14" i="54"/>
  <c r="KE14" i="54" s="1"/>
  <c r="JY14" i="54" s="1"/>
  <c r="JV7" i="54"/>
  <c r="JW7" i="54"/>
  <c r="KF7" i="54" s="1"/>
  <c r="JZ7" i="54" s="1"/>
  <c r="JV13" i="54"/>
  <c r="KE13" i="54" s="1"/>
  <c r="JY13" i="54" s="1"/>
  <c r="JW13" i="54"/>
  <c r="KF13" i="54" s="1"/>
  <c r="JZ13" i="54" s="1"/>
  <c r="JW8" i="54"/>
  <c r="KF8" i="54" s="1"/>
  <c r="JZ8" i="54" s="1"/>
  <c r="JV8" i="54"/>
  <c r="KE8" i="54" s="1"/>
  <c r="JY8" i="54" s="1"/>
  <c r="JV11" i="54"/>
  <c r="KE11" i="54" s="1"/>
  <c r="JY11" i="54" s="1"/>
  <c r="JW11" i="54"/>
  <c r="KF11" i="54" s="1"/>
  <c r="JZ11" i="54" s="1"/>
  <c r="JV9" i="54"/>
  <c r="KE9" i="54" s="1"/>
  <c r="JY9" i="54" s="1"/>
  <c r="JW9" i="54"/>
  <c r="KF9" i="54" s="1"/>
  <c r="JZ9" i="54" s="1"/>
  <c r="KE16" i="54"/>
  <c r="JY16" i="54" s="1"/>
  <c r="KF16" i="54"/>
  <c r="JZ16" i="54" s="1"/>
  <c r="JW10" i="54"/>
  <c r="KF10" i="54" s="1"/>
  <c r="JZ10" i="54" s="1"/>
  <c r="JV10" i="54"/>
  <c r="KE10" i="54" s="1"/>
  <c r="JY10" i="54" s="1"/>
  <c r="KF17" i="54" l="1"/>
  <c r="JZ17" i="54" s="1"/>
  <c r="KE17" i="54"/>
  <c r="JY17" i="54" s="1"/>
  <c r="FY10" i="54"/>
  <c r="KE7" i="54"/>
  <c r="JY7" i="54" s="1"/>
  <c r="KG23" i="54"/>
  <c r="KG24" i="54" s="1"/>
  <c r="FV10" i="54"/>
  <c r="FM21" i="54"/>
  <c r="GL2" i="54" s="1"/>
  <c r="FW16" i="54"/>
  <c r="FY14" i="54"/>
  <c r="FW14" i="54"/>
  <c r="FW12" i="54"/>
  <c r="FY16" i="54"/>
  <c r="FY12" i="54"/>
  <c r="FW9" i="54"/>
  <c r="FV9" i="54"/>
  <c r="FY9" i="54"/>
  <c r="FV7" i="54"/>
  <c r="FW7" i="54"/>
  <c r="FY7" i="54"/>
  <c r="FW8" i="54"/>
  <c r="FV8" i="54"/>
  <c r="FY8" i="54"/>
  <c r="FY11" i="54"/>
  <c r="FV11" i="54"/>
  <c r="FW11" i="54"/>
  <c r="KB9" i="54"/>
  <c r="KA9" i="54"/>
  <c r="KA12" i="54"/>
  <c r="KB12" i="54"/>
  <c r="KA16" i="54"/>
  <c r="KB16" i="54"/>
  <c r="KB11" i="54"/>
  <c r="KA11" i="54"/>
  <c r="KB13" i="54"/>
  <c r="KA13" i="54"/>
  <c r="KA10" i="54"/>
  <c r="KB10" i="54"/>
  <c r="KA8" i="54"/>
  <c r="KB8" i="54"/>
  <c r="KB14" i="54"/>
  <c r="KA14" i="54"/>
  <c r="KG25" i="54" l="1"/>
  <c r="KG26" i="54" s="1"/>
  <c r="KG27" i="54" s="1"/>
  <c r="KG28" i="54" s="1"/>
  <c r="KG29" i="54" s="1"/>
  <c r="FX17" i="54"/>
  <c r="FZ17" i="54" s="1"/>
  <c r="KA17" i="54"/>
  <c r="KB17" i="54"/>
  <c r="KA7" i="54"/>
  <c r="KB7" i="54"/>
  <c r="FX16" i="54"/>
  <c r="FZ16" i="54" s="1"/>
  <c r="GM16" i="54" s="1"/>
  <c r="GG16" i="54" s="1"/>
  <c r="FX14" i="54"/>
  <c r="FZ14" i="54" s="1"/>
  <c r="GD14" i="54" s="1"/>
  <c r="GM14" i="54" s="1"/>
  <c r="GG14" i="54" s="1"/>
  <c r="FX9" i="54"/>
  <c r="FZ9" i="54" s="1"/>
  <c r="GD9" i="54" s="1"/>
  <c r="GM9" i="54" s="1"/>
  <c r="GG9" i="54" s="1"/>
  <c r="FX7" i="54"/>
  <c r="FZ7" i="54" s="1"/>
  <c r="GD7" i="54" s="1"/>
  <c r="FX12" i="54"/>
  <c r="FZ12" i="54" s="1"/>
  <c r="GE12" i="54" s="1"/>
  <c r="GN12" i="54" s="1"/>
  <c r="GH12" i="54" s="1"/>
  <c r="FX10" i="54"/>
  <c r="FZ10" i="54" s="1"/>
  <c r="GD10" i="54" s="1"/>
  <c r="GM10" i="54" s="1"/>
  <c r="GG10" i="54" s="1"/>
  <c r="FX11" i="54"/>
  <c r="FZ11" i="54" s="1"/>
  <c r="GD11" i="54" s="1"/>
  <c r="GM11" i="54" s="1"/>
  <c r="GG11" i="54" s="1"/>
  <c r="FX13" i="54"/>
  <c r="FZ13" i="54" s="1"/>
  <c r="GE13" i="54" s="1"/>
  <c r="GN13" i="54" s="1"/>
  <c r="GH13" i="54" s="1"/>
  <c r="FX8" i="54"/>
  <c r="FZ8" i="54" s="1"/>
  <c r="GE8" i="54" s="1"/>
  <c r="GN8" i="54" s="1"/>
  <c r="GH8" i="54" s="1"/>
  <c r="KJ8" i="54"/>
  <c r="KJ11" i="54"/>
  <c r="KL11" i="54" s="1"/>
  <c r="KO11" i="54" s="1"/>
  <c r="KJ9" i="54"/>
  <c r="KL9" i="54" s="1"/>
  <c r="KO9" i="54" s="1"/>
  <c r="KJ12" i="54"/>
  <c r="KL12" i="54" s="1"/>
  <c r="KO12" i="54" s="1"/>
  <c r="KJ10" i="54"/>
  <c r="KL10" i="54" s="1"/>
  <c r="KO10" i="54" s="1"/>
  <c r="KJ16" i="54"/>
  <c r="KL16" i="54" s="1"/>
  <c r="KO16" i="54" s="1"/>
  <c r="KJ14" i="54"/>
  <c r="KJ13" i="54"/>
  <c r="KJ17" i="54" l="1"/>
  <c r="KL17" i="54" s="1"/>
  <c r="KO17" i="54" s="1"/>
  <c r="KG30" i="54"/>
  <c r="GD17" i="54"/>
  <c r="GE17" i="54"/>
  <c r="GE14" i="54"/>
  <c r="GN14" i="54" s="1"/>
  <c r="GH14" i="54" s="1"/>
  <c r="GJ14" i="54" s="1"/>
  <c r="KJ7" i="54"/>
  <c r="KL7" i="54" s="1"/>
  <c r="KO7" i="54" s="1"/>
  <c r="GD12" i="54"/>
  <c r="GM12" i="54" s="1"/>
  <c r="GG12" i="54" s="1"/>
  <c r="GI12" i="54" s="1"/>
  <c r="GN16" i="54"/>
  <c r="GH16" i="54" s="1"/>
  <c r="GE9" i="54"/>
  <c r="GN9" i="54" s="1"/>
  <c r="GH9" i="54" s="1"/>
  <c r="GJ9" i="54" s="1"/>
  <c r="GD8" i="54"/>
  <c r="GM8" i="54" s="1"/>
  <c r="GG8" i="54" s="1"/>
  <c r="GJ8" i="54" s="1"/>
  <c r="GE7" i="54"/>
  <c r="GN7" i="54" s="1"/>
  <c r="GH7" i="54" s="1"/>
  <c r="GD13" i="54"/>
  <c r="GM13" i="54" s="1"/>
  <c r="GG13" i="54" s="1"/>
  <c r="GI13" i="54" s="1"/>
  <c r="GE11" i="54"/>
  <c r="GN11" i="54" s="1"/>
  <c r="GH11" i="54" s="1"/>
  <c r="GJ11" i="54" s="1"/>
  <c r="GE10" i="54"/>
  <c r="GN10" i="54" s="1"/>
  <c r="GH10" i="54" s="1"/>
  <c r="GI10" i="54" s="1"/>
  <c r="GM7" i="54"/>
  <c r="GG7" i="54" s="1"/>
  <c r="KN12" i="54"/>
  <c r="KN10" i="54"/>
  <c r="KL8" i="54"/>
  <c r="KO8" i="54" s="1"/>
  <c r="KN9" i="54"/>
  <c r="KN16" i="54"/>
  <c r="KL14" i="54"/>
  <c r="KO14" i="54" s="1"/>
  <c r="KL13" i="54"/>
  <c r="KO13" i="54" s="1"/>
  <c r="KN11" i="54"/>
  <c r="GN17" i="54" l="1"/>
  <c r="GH17" i="54" s="1"/>
  <c r="KN17" i="54"/>
  <c r="GM17" i="54"/>
  <c r="GG17" i="54" s="1"/>
  <c r="GI14" i="54"/>
  <c r="GR14" i="54" s="1"/>
  <c r="GT14" i="54" s="1"/>
  <c r="GW14" i="54" s="1"/>
  <c r="KN7" i="54"/>
  <c r="GJ12" i="54"/>
  <c r="GR12" i="54" s="1"/>
  <c r="GT12" i="54" s="1"/>
  <c r="GW12" i="54" s="1"/>
  <c r="GO23" i="54"/>
  <c r="GO24" i="54" s="1"/>
  <c r="GI9" i="54"/>
  <c r="GR9" i="54" s="1"/>
  <c r="GT9" i="54" s="1"/>
  <c r="GW9" i="54" s="1"/>
  <c r="GI8" i="54"/>
  <c r="GR8" i="54" s="1"/>
  <c r="GT8" i="54" s="1"/>
  <c r="GJ13" i="54"/>
  <c r="GR13" i="54" s="1"/>
  <c r="GT13" i="54" s="1"/>
  <c r="GW13" i="54" s="1"/>
  <c r="GI11" i="54"/>
  <c r="GR11" i="54" s="1"/>
  <c r="GT11" i="54" s="1"/>
  <c r="GW11" i="54" s="1"/>
  <c r="GJ10" i="54"/>
  <c r="GR10" i="54" s="1"/>
  <c r="GT10" i="54" s="1"/>
  <c r="GW10" i="54" s="1"/>
  <c r="GJ16" i="54"/>
  <c r="GI16" i="54"/>
  <c r="GI7" i="54"/>
  <c r="GJ7" i="54"/>
  <c r="KN14" i="54"/>
  <c r="KO18" i="54"/>
  <c r="KO19" i="54" s="1"/>
  <c r="KJ24" i="54" s="1"/>
  <c r="KJ26" i="54" s="1"/>
  <c r="KN8" i="54"/>
  <c r="KN13" i="54"/>
  <c r="GO25" i="54" l="1"/>
  <c r="GO26" i="54" s="1"/>
  <c r="GO27" i="54" s="1"/>
  <c r="GO28" i="54" s="1"/>
  <c r="GP28" i="54" s="1"/>
  <c r="GJ17" i="54"/>
  <c r="GI17" i="54"/>
  <c r="GV10" i="54"/>
  <c r="GV13" i="54"/>
  <c r="GV9" i="54"/>
  <c r="GV12" i="54"/>
  <c r="GV11" i="54"/>
  <c r="GV14" i="54"/>
  <c r="GR16" i="54"/>
  <c r="GR7" i="54"/>
  <c r="GT7" i="54" s="1"/>
  <c r="GW7" i="54" s="1"/>
  <c r="GW8" i="54"/>
  <c r="GV8" i="54"/>
  <c r="GO29" i="54" l="1"/>
  <c r="GR17" i="54"/>
  <c r="GT16" i="54"/>
  <c r="GW16" i="54" s="1"/>
  <c r="GV7" i="54"/>
  <c r="GT17" i="54" l="1"/>
  <c r="GW17" i="54" s="1"/>
  <c r="GW18" i="54" s="1"/>
  <c r="GW19" i="54" s="1"/>
  <c r="KH29" i="54"/>
  <c r="KJ27" i="54"/>
  <c r="GV16" i="54"/>
  <c r="GV17" i="54" l="1"/>
  <c r="GR24" i="54"/>
  <c r="GR26" i="54"/>
  <c r="GR27" i="54" s="1"/>
</calcChain>
</file>

<file path=xl/sharedStrings.xml><?xml version="1.0" encoding="utf-8"?>
<sst xmlns="http://schemas.openxmlformats.org/spreadsheetml/2006/main" count="957" uniqueCount="314">
  <si>
    <t>Fächer</t>
  </si>
  <si>
    <t>12/1</t>
  </si>
  <si>
    <t>12/2</t>
  </si>
  <si>
    <t>Deutsch</t>
  </si>
  <si>
    <t>Englisch</t>
  </si>
  <si>
    <t>Religionslehre</t>
  </si>
  <si>
    <t>Mathematik</t>
  </si>
  <si>
    <t>Chemie</t>
  </si>
  <si>
    <t>Biologie</t>
  </si>
  <si>
    <t>Gesundheitswissenschaften</t>
  </si>
  <si>
    <t>Kommunikation und Interaktion</t>
  </si>
  <si>
    <t>einzubringende Leistungen</t>
  </si>
  <si>
    <t>Höchstpunktzahl</t>
  </si>
  <si>
    <t>Voraussetzungen für das Bestehen
(zusammen zu erfüllen)</t>
  </si>
  <si>
    <t>Summe</t>
  </si>
  <si>
    <t>S = Durchschnittsnote S</t>
  </si>
  <si>
    <t>Schnitte unter 1 werden auf 1,0 aufgerundet.</t>
  </si>
  <si>
    <t>Hinweise zur Rundung</t>
  </si>
  <si>
    <t>In einbringungsfähigen Fächern:
a) sämtliche Gesamtergebnisse (GE) mindestens "ausreichend"
oder
b) höchstens zwei GE mit weniger als 4 Punkten,
wobei Ergbnisse mit 0 Punkten doppelt gezählt werden
und nachfolgende Summenbedingung</t>
  </si>
  <si>
    <t>Gesamt</t>
  </si>
  <si>
    <t>Anzahl</t>
  </si>
  <si>
    <t>Punktesumme</t>
  </si>
  <si>
    <t>einbringungsfähige Halbjahresleistungen:</t>
  </si>
  <si>
    <t>Zahl der eingebrachten Halbjahresleistungen:</t>
  </si>
  <si>
    <t>E = in den eingebrachten Ergebnissen tatsächlich erreichte Punktsumme:</t>
  </si>
  <si>
    <t>min</t>
  </si>
  <si>
    <t>Rang</t>
  </si>
  <si>
    <t>Rang + Z</t>
  </si>
  <si>
    <t>ranking</t>
  </si>
  <si>
    <t>1WPF</t>
  </si>
  <si>
    <t>ausgeschlossen (mit ( ) gekennzeichnet):</t>
  </si>
  <si>
    <t>Naturwissenschaften</t>
  </si>
  <si>
    <t>Physik</t>
  </si>
  <si>
    <t>Technologie</t>
  </si>
  <si>
    <t>4 Prüfungen, je zweifach</t>
  </si>
  <si>
    <t>mindestens 130 Punkte bei einem GE mit weniger als 4 Punkten
mindestens 156 Punkte bei zwei GE mit weniger als 4 Punkten</t>
  </si>
  <si>
    <t>AP (2fach)</t>
  </si>
  <si>
    <t>Staatliche Fachoberschule und Berufsoberschule Traunstein</t>
  </si>
  <si>
    <t>Wasserburger Straße 48</t>
  </si>
  <si>
    <t>83278 Traunstein</t>
  </si>
  <si>
    <t>IBV</t>
  </si>
  <si>
    <t>Medien</t>
  </si>
  <si>
    <r>
      <t xml:space="preserve">Für die Korrektheit sämtlicher 
Angaben, Berechnungen und Ergebnisse 
wird </t>
    </r>
    <r>
      <rPr>
        <b/>
        <u/>
        <sz val="18"/>
        <color rgb="FFFF0000"/>
        <rFont val="Calibri"/>
        <family val="2"/>
        <scheme val="minor"/>
      </rPr>
      <t>keine</t>
    </r>
    <r>
      <rPr>
        <b/>
        <sz val="18"/>
        <color rgb="FFFF0000"/>
        <rFont val="Calibri"/>
        <family val="2"/>
        <scheme val="minor"/>
      </rPr>
      <t xml:space="preserve"> Gewähr übernommen!</t>
    </r>
  </si>
  <si>
    <t>Streichen?</t>
  </si>
  <si>
    <t>ja</t>
  </si>
  <si>
    <t>sAP</t>
  </si>
  <si>
    <t>mAP</t>
  </si>
  <si>
    <t>Streichen? Wertung</t>
  </si>
  <si>
    <t>nein</t>
  </si>
  <si>
    <t>aut.</t>
  </si>
  <si>
    <t>unter4</t>
  </si>
  <si>
    <t>Fachgebundene Hochschulreife</t>
  </si>
  <si>
    <t>Ergänzungsprüfung</t>
  </si>
  <si>
    <t>Möglichkeiten 2.Fremdsprache</t>
  </si>
  <si>
    <t>Seminar</t>
  </si>
  <si>
    <t>Summe der eingebrachten Halbjahresleistungen:
(ohne Seminar)</t>
  </si>
  <si>
    <t>Summe der eingebrachten Halbjahresleistungen:
(mit Seminar)</t>
  </si>
  <si>
    <t>Allgemeine Hochschulreife</t>
  </si>
  <si>
    <t>Angestrebter Abschluss:</t>
  </si>
  <si>
    <t>Abschluss</t>
  </si>
  <si>
    <t>Französisch</t>
  </si>
  <si>
    <t>Spanisch</t>
  </si>
  <si>
    <t>Spanisch fortgeführt</t>
  </si>
  <si>
    <t>Französisch fortgeführt</t>
  </si>
  <si>
    <t>Informatik vertiefend</t>
  </si>
  <si>
    <t>Informatik erweiternd</t>
  </si>
  <si>
    <t>Wirtschaft aktuell</t>
  </si>
  <si>
    <t>Internationale Politik</t>
  </si>
  <si>
    <t>Wirtschaft und Recht</t>
  </si>
  <si>
    <t>Aspekte der Psychologie</t>
  </si>
  <si>
    <t>Sozialpsychologie</t>
  </si>
  <si>
    <t>Wahlpflichtfach 1 auswählen</t>
  </si>
  <si>
    <t>(Wahlpflichtfach 2 auswählen)</t>
  </si>
  <si>
    <t>Einbringungsregeln "Fachgebundene Hochschulreife"</t>
  </si>
  <si>
    <t>Einbringungsregeln "Allgemeine Hochschulreife"</t>
  </si>
  <si>
    <t>Seminar, zweifach</t>
  </si>
  <si>
    <t>120</t>
  </si>
  <si>
    <t>30</t>
  </si>
  <si>
    <t>16 weitere Halbjahresergebnisse 
gemäß Einbringung der Leistungen.
Aus jedem einbringungsfähigen Fach
kann höchstens ein Halbjahresergebnis
unberücksichtigt bleiben.</t>
  </si>
  <si>
    <t>240</t>
  </si>
  <si>
    <t>kein Prüfungsergebnis mit 0 Punkten,
höchstens 2 Prüfungsergebnisse mit 1 bis 3 Punkten</t>
  </si>
  <si>
    <t>In einbringungsfähigen Fächern:
a) sämtliche Gesamtergebnisse (GE) mindestens "ausreichend"
oder
b) höchstens zwei GE mit weniger als 4 Punkten,
wobei Ergbnisse mit 0 Punkten doppelt gezählt werden
und unter Summe aufgeführte Summenbedingung</t>
  </si>
  <si>
    <t>Ausbildungsrichtung:</t>
  </si>
  <si>
    <t>AR</t>
  </si>
  <si>
    <t>Gesundheit</t>
  </si>
  <si>
    <t>Sozialwesen</t>
  </si>
  <si>
    <t>Technik</t>
  </si>
  <si>
    <t>Wirtschaft</t>
  </si>
  <si>
    <t>Internationale Wirtschaft</t>
  </si>
  <si>
    <t>ABU</t>
  </si>
  <si>
    <t>Gestaltung</t>
  </si>
  <si>
    <t>Profilfach1</t>
  </si>
  <si>
    <t>Profilfach2</t>
  </si>
  <si>
    <t>Profilfach3</t>
  </si>
  <si>
    <t>Profilfach 1</t>
  </si>
  <si>
    <t>Profilfach 2</t>
  </si>
  <si>
    <t>Profilfach 3</t>
  </si>
  <si>
    <t>BwR</t>
  </si>
  <si>
    <t>Volkswirtschaftslehre</t>
  </si>
  <si>
    <t>Pädagogik/Psychologie</t>
  </si>
  <si>
    <t>Sozialwirtschaft und Recht</t>
  </si>
  <si>
    <t>13/1</t>
  </si>
  <si>
    <t>13/2</t>
  </si>
  <si>
    <t>Starten ( )</t>
  </si>
  <si>
    <t>Spanisch fortgeführt (nur in Jgst. 12)</t>
  </si>
  <si>
    <t>Französisch fortgeführt (nur in Jgst. 12)</t>
  </si>
  <si>
    <t>Belegung als Wahlpflichtfach (in Jgst. 13)</t>
  </si>
  <si>
    <r>
      <t xml:space="preserve">Für die Korrektheit sämtlicher Angaben, Berechnungen und Ergebnisse wird </t>
    </r>
    <r>
      <rPr>
        <b/>
        <u/>
        <sz val="12"/>
        <color rgb="FFFF0000"/>
        <rFont val="Arial"/>
        <family val="2"/>
      </rPr>
      <t>keine</t>
    </r>
    <r>
      <rPr>
        <b/>
        <sz val="12"/>
        <color rgb="FFFF0000"/>
        <rFont val="Arial"/>
        <family val="2"/>
      </rPr>
      <t xml:space="preserve"> Gewähr übernommen!</t>
    </r>
  </si>
  <si>
    <t>AR_TS</t>
  </si>
  <si>
    <t>Soziologie</t>
  </si>
  <si>
    <t>Mathematik Additum</t>
  </si>
  <si>
    <t>International Business Studies</t>
  </si>
  <si>
    <t>Streichen</t>
  </si>
  <si>
    <t>Hilfe für indirekte Dropdown-Menüs</t>
  </si>
  <si>
    <t>FOSBOS:</t>
  </si>
  <si>
    <t>gewählte AR</t>
  </si>
  <si>
    <t>AR-WPF1</t>
  </si>
  <si>
    <t>AR-WPF2</t>
  </si>
  <si>
    <t>AR-WPF3</t>
  </si>
  <si>
    <t>AR-WPF4</t>
  </si>
  <si>
    <t>Wahlpflichtfächer allg.</t>
  </si>
  <si>
    <t>Wahlpflichtfächer FOS/BOS TS</t>
  </si>
  <si>
    <t>_WPF1</t>
  </si>
  <si>
    <t>_WPF1_TS</t>
  </si>
  <si>
    <t>Technik_WPF1</t>
  </si>
  <si>
    <t>Technik_WPF1_TS</t>
  </si>
  <si>
    <t>Aspekte der Biologie</t>
  </si>
  <si>
    <t>English Book Club</t>
  </si>
  <si>
    <t>ABU_WPF1</t>
  </si>
  <si>
    <t>ABU_WPF1_TS</t>
  </si>
  <si>
    <t>Biotechnologie</t>
  </si>
  <si>
    <t>Wirtschaft_WPF1</t>
  </si>
  <si>
    <t>Wirtschaft_WPF1_TS</t>
  </si>
  <si>
    <t>Aspekte der Chemie</t>
  </si>
  <si>
    <t>Aspekte der Physik</t>
  </si>
  <si>
    <t>Internation_WPF1</t>
  </si>
  <si>
    <t>Internation_WPF1_TS</t>
  </si>
  <si>
    <t>Sozialwesen_WPF1</t>
  </si>
  <si>
    <t>Sozialwesen_WPF1_TS</t>
  </si>
  <si>
    <t>Spektrum der Gesundheit</t>
  </si>
  <si>
    <t>Gesundheit_WPF1</t>
  </si>
  <si>
    <t>Gesundheit_WPF1_TS</t>
  </si>
  <si>
    <t>Gesundheitswirtschaft und Recht</t>
  </si>
  <si>
    <t>Gestaltung_WPF1</t>
  </si>
  <si>
    <t>Gestaltung_WPF1_TS</t>
  </si>
  <si>
    <t>Experimentelles Gestalten</t>
  </si>
  <si>
    <t>_WPF2</t>
  </si>
  <si>
    <t>_WPF2_TS</t>
  </si>
  <si>
    <t>Technik_WPF2</t>
  </si>
  <si>
    <t>Technik_WPF2_TS</t>
  </si>
  <si>
    <t>ABU_WPF2</t>
  </si>
  <si>
    <t>ABU_WPF2_TS</t>
  </si>
  <si>
    <t>Wirtschaft_WPF2</t>
  </si>
  <si>
    <t>Wirtschaft_WPF2_TS</t>
  </si>
  <si>
    <t>Internation_WPF2</t>
  </si>
  <si>
    <t>Internation_WPF2_TS</t>
  </si>
  <si>
    <t>Sozialwesen_WPF2</t>
  </si>
  <si>
    <t>Sozialwesen_WPF2_TS</t>
  </si>
  <si>
    <t>Gesundheit_WPF2</t>
  </si>
  <si>
    <t>Gesundheit_WPF2_TS</t>
  </si>
  <si>
    <t>Gestaltung_WPF2</t>
  </si>
  <si>
    <t>Gestaltung_WPF2_TS</t>
  </si>
  <si>
    <r>
      <t xml:space="preserve">(Die Unterschiede liegen im Bereich der angebotenen Wahlpflichtfächer und haben 
</t>
    </r>
    <r>
      <rPr>
        <u/>
        <sz val="12"/>
        <color theme="1"/>
        <rFont val="Calibri"/>
        <family val="2"/>
        <scheme val="minor"/>
      </rPr>
      <t>keinen</t>
    </r>
    <r>
      <rPr>
        <sz val="12"/>
        <color theme="1"/>
        <rFont val="Calibri"/>
        <family val="2"/>
        <scheme val="minor"/>
      </rPr>
      <t xml:space="preserve"> Einfluss auf den Streichvorschlag.)</t>
    </r>
  </si>
  <si>
    <t>Streichvorschlag für Schülerinnen und Schüler der FOS und BOS 13</t>
  </si>
  <si>
    <t>Kunst</t>
  </si>
  <si>
    <t>Musik</t>
  </si>
  <si>
    <t>Szenisches Gestalten</t>
  </si>
  <si>
    <t>Sport</t>
  </si>
  <si>
    <t>WPF</t>
  </si>
  <si>
    <t>einbringungsfähig?</t>
  </si>
  <si>
    <t>0WPF</t>
  </si>
  <si>
    <t>einbringungsfähige</t>
  </si>
  <si>
    <t>2WPF</t>
  </si>
  <si>
    <t>Umwandlung von "k" in 0 Punkte</t>
  </si>
  <si>
    <t>Halbjahre ohne Notenbildung</t>
  </si>
  <si>
    <t>k</t>
  </si>
  <si>
    <t>maximale Anzahl an Halbjahren ohne Notenbildung überschritten</t>
  </si>
  <si>
    <t>©</t>
  </si>
  <si>
    <t>Bitte klicken zum Auswählen</t>
  </si>
  <si>
    <t>Ausgewiesenes Sprachniveau B1 durch andere Schule</t>
  </si>
  <si>
    <t>Berechnung der Durchschnittsnote im Fachabitur</t>
  </si>
  <si>
    <t>M = höchstens erreichbare Punktesumme</t>
  </si>
  <si>
    <t>E = in den eingebrachten Ergebnissen tatsächlich erreichte Punktsumme</t>
  </si>
  <si>
    <t>S = 17/3 – 5*E/M</t>
  </si>
  <si>
    <r>
      <t xml:space="preserve">Ansonsten wird die Durchschnittsnote ohne Rundung auf </t>
    </r>
    <r>
      <rPr>
        <b/>
        <sz val="12"/>
        <color theme="1"/>
        <rFont val="Arial"/>
        <family val="2"/>
      </rPr>
      <t xml:space="preserve">eine </t>
    </r>
    <r>
      <rPr>
        <sz val="12"/>
        <color theme="1"/>
        <rFont val="Arial"/>
        <family val="2"/>
      </rPr>
      <t xml:space="preserve">
Nachkommastelle berechnet.</t>
    </r>
  </si>
  <si>
    <t>Geschichte/Politik und Gesellschaft</t>
  </si>
  <si>
    <t>Möglichkeiten 2.Fremdsprache IW</t>
  </si>
  <si>
    <t>Französisch/Spanisch</t>
  </si>
  <si>
    <t>Französisch/Spanisch als Profilfach 2</t>
  </si>
  <si>
    <t>AP</t>
  </si>
  <si>
    <t>minimalste HJL</t>
  </si>
  <si>
    <t>Gesamtergebnis ohne AP</t>
  </si>
  <si>
    <t>Gesamtergebnis ohne minimalste HJL ohne AP</t>
  </si>
  <si>
    <t>Gesamtergebnis mit AP</t>
  </si>
  <si>
    <t>Gesamtergebnis ohne minimalste HJL mit AP</t>
  </si>
  <si>
    <t>Gesamtergebnis</t>
  </si>
  <si>
    <t>Gesamtergebnis ohne minimalste HJL</t>
  </si>
  <si>
    <t>Differenz der Gesamtergebnisse</t>
  </si>
  <si>
    <t>Rang von Spalte R</t>
  </si>
  <si>
    <t>Noten in Worten</t>
  </si>
  <si>
    <t>Gesamtergebnisse</t>
  </si>
  <si>
    <t>Punkte</t>
  </si>
  <si>
    <t>Schnitt</t>
  </si>
  <si>
    <t>Punkte maximal</t>
  </si>
  <si>
    <t>Punkte minimal</t>
  </si>
  <si>
    <t>Note in Worten</t>
  </si>
  <si>
    <t>sehr gut</t>
  </si>
  <si>
    <t>gut</t>
  </si>
  <si>
    <t>befriedigend</t>
  </si>
  <si>
    <t>ausreichend</t>
  </si>
  <si>
    <t>mangelhaft</t>
  </si>
  <si>
    <t>ungenügend</t>
  </si>
  <si>
    <t>Rang von Spalte BP</t>
  </si>
  <si>
    <t>Rangbildung</t>
  </si>
  <si>
    <t>Gesamtergebnis gerundet</t>
  </si>
  <si>
    <t>Gesamtergebnis ohne minimalste HJL gerundet</t>
  </si>
  <si>
    <t>Gesamtergebnis als Note</t>
  </si>
  <si>
    <t>Gesamtergebnis ohne minimalste HJL als Note</t>
  </si>
  <si>
    <t>Verbesserung durch Streichen möglich</t>
  </si>
  <si>
    <t>Verbesserung um Notenstufen</t>
  </si>
  <si>
    <t>keine Verschlechterung durch Nichtstreichen</t>
  </si>
  <si>
    <t>minimalste HJL 2</t>
  </si>
  <si>
    <t>Rang Verbesserung</t>
  </si>
  <si>
    <t>Rang Verschlechterung</t>
  </si>
  <si>
    <t>Streichpartner 1</t>
  </si>
  <si>
    <t>Einbringungspartner 1</t>
  </si>
  <si>
    <t>Streichpartner 2</t>
  </si>
  <si>
    <t>Einbringungspartner 2</t>
  </si>
  <si>
    <t>Streichpartner 3</t>
  </si>
  <si>
    <t>Einbringungspartner 3</t>
  </si>
  <si>
    <t>Streichpartner 4</t>
  </si>
  <si>
    <t>Einbringungspartner 4</t>
  </si>
  <si>
    <t>Streichpartner 5</t>
  </si>
  <si>
    <t>Einbringungspartner 5</t>
  </si>
  <si>
    <t>Tausch 1 durchführen</t>
  </si>
  <si>
    <t>Tausch 2 durchführen</t>
  </si>
  <si>
    <t>Tausch 3 durchführen</t>
  </si>
  <si>
    <t>Tausch 4 durchführen</t>
  </si>
  <si>
    <t>Tausch 5 durchführen</t>
  </si>
  <si>
    <t>Vorschlag</t>
  </si>
  <si>
    <t>Note</t>
  </si>
  <si>
    <t>einbringnungsfähige Wahlpflichtfächer</t>
  </si>
  <si>
    <t>nicht einbringnungsfähige Wahlpflichtfächer</t>
  </si>
  <si>
    <t>Punktsummenbester Streichvorschlag der Leistungen für die Fachgebundene Hochschulreife</t>
  </si>
  <si>
    <t>Punktsummenbester Streichvorschlag der Leistungen für die Allgemeine Hochschulreife</t>
  </si>
  <si>
    <t>Punktegrenze BESTEHEN</t>
  </si>
  <si>
    <t>Gesamtergebnisse unter 4</t>
  </si>
  <si>
    <t>Spielraum für Punkte laut Punktegrenze</t>
  </si>
  <si>
    <t>maximal erreichbare Punkte</t>
  </si>
  <si>
    <t>Spielraum Punkte laut Schnitt</t>
  </si>
  <si>
    <t>Spielraum für Punkte tatsächlich</t>
  </si>
  <si>
    <t>Differenz</t>
  </si>
  <si>
    <t>Streich 1 Einbringung 1</t>
  </si>
  <si>
    <t>Streich 1 Einbringung 2</t>
  </si>
  <si>
    <t>Streich 1 Einbringung 3</t>
  </si>
  <si>
    <t>Streich 1 Einbringung 4</t>
  </si>
  <si>
    <t>Streich 1 Einbringung 5</t>
  </si>
  <si>
    <t>Streich 2 Einbringung 1</t>
  </si>
  <si>
    <t>Streich 2 Einbringung 2</t>
  </si>
  <si>
    <t>Streich 2 Einbringung 3</t>
  </si>
  <si>
    <t>Streich 2 Einbringung 4</t>
  </si>
  <si>
    <t>Streich 2 Einbringung 5</t>
  </si>
  <si>
    <t>Streich 3 Einbringung 1</t>
  </si>
  <si>
    <t>Streich 3 Einbringung 2</t>
  </si>
  <si>
    <t>Streich 3 Einbringung 3</t>
  </si>
  <si>
    <t>Streich 3 Einbringung 4</t>
  </si>
  <si>
    <t>Streich 3 Einbringung 5</t>
  </si>
  <si>
    <t>Streich 4 Einbringung 1</t>
  </si>
  <si>
    <t>Streich 4 Einbringung 2</t>
  </si>
  <si>
    <t>Streich 4 Einbringung 3</t>
  </si>
  <si>
    <t>Streich 4 Einbringung 4</t>
  </si>
  <si>
    <t>Streich 4 Einbringung 5</t>
  </si>
  <si>
    <t>Streich 5 Einbringung 1</t>
  </si>
  <si>
    <t>Streich 5 Einbringung 2</t>
  </si>
  <si>
    <t>Streich 5 Einbringung 3</t>
  </si>
  <si>
    <t>Streich 5 Einbringung 4</t>
  </si>
  <si>
    <t>Streich 5 Einbringung 5</t>
  </si>
  <si>
    <t>Punkte Tausch 1</t>
  </si>
  <si>
    <t>Punkte Tausch 2</t>
  </si>
  <si>
    <t>Punkte Tausch 3</t>
  </si>
  <si>
    <t>Punkte Tausch 4</t>
  </si>
  <si>
    <t>Punkte Tausch 5</t>
  </si>
  <si>
    <t>Anzahl an Vorschlägen:</t>
  </si>
  <si>
    <t>Vorschlag sichtbar:</t>
  </si>
  <si>
    <t>Bedingte Formatierung:</t>
  </si>
  <si>
    <t>inaktiv:</t>
  </si>
  <si>
    <t>aktiv:</t>
  </si>
  <si>
    <t>X</t>
  </si>
  <si>
    <t>AP
(2fach)</t>
  </si>
  <si>
    <t>Anzahl HJL</t>
  </si>
  <si>
    <t>Fachreferat</t>
  </si>
  <si>
    <t>E-AP mündl</t>
  </si>
  <si>
    <t>Eintrag der Leistungen FOS 13 bzw. BOS 13 und Abschlussprüfung</t>
  </si>
  <si>
    <t>Schule</t>
  </si>
  <si>
    <t>FOSBOS Traunstein</t>
  </si>
  <si>
    <t>andere FOSBOS in Bayern</t>
  </si>
  <si>
    <t>Schule:</t>
  </si>
  <si>
    <t>AR:</t>
  </si>
  <si>
    <t>Bitte wählen Sie zunächst Ihre Schule und die Ausbildungsrichtung. 
Wechseln Sie anschließend auf das Tabellenblatt "Streichvorschlag".</t>
  </si>
  <si>
    <t>müssen 5er verhindert werden??</t>
  </si>
  <si>
    <t>Minimalste HJL + Zeile</t>
  </si>
  <si>
    <t>GE in  Worten</t>
  </si>
  <si>
    <t>Anzahl mangelhaft</t>
  </si>
  <si>
    <t>Anzahl ungenügend</t>
  </si>
  <si>
    <t>Summe &lt; 4</t>
  </si>
  <si>
    <t>Punkte HJL</t>
  </si>
  <si>
    <t>Punkte AP</t>
  </si>
  <si>
    <t>Punkte kleinste HJL</t>
  </si>
  <si>
    <t>Punkte Seminar</t>
  </si>
  <si>
    <t>Punkte Ergnzungsprüfung/fortgeführte FS12</t>
  </si>
  <si>
    <t>Bitte die Ausbildungsrichtung auswählen</t>
  </si>
  <si>
    <t>Durchschnittsnote S mit zwei Dezimalstellen</t>
  </si>
  <si>
    <t>Version 6.3.4 vom 22.06.2023</t>
  </si>
  <si>
    <t>Bernd Schönberger, 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</si>
</sst>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0.0"/>
    <numFmt numFmtId="165" formatCode="0.000"/>
    <numFmt numFmtId="166" formatCode="0.0000000000"/>
    <numFmt numFmtId="167" formatCode="0.0000"/>
    <numFmt numFmtId="168" formatCode="0.000000"/>
    <numFmt numFmtId="169" formatCode="0.0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b/>
      <sz val="12"/>
      <color rgb="FF9C0006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6" tint="-0.249977111117893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8"/>
      <color theme="4"/>
      <name val="Arial"/>
      <family val="2"/>
    </font>
    <font>
      <b/>
      <u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rgb="FFFF0000"/>
      <name val="Calibri"/>
      <family val="2"/>
      <scheme val="minor"/>
    </font>
    <font>
      <sz val="18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34998626667073579"/>
      </right>
      <top style="medium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thin">
        <color theme="0" tint="-0.34998626667073579"/>
      </bottom>
      <diagonal/>
    </border>
    <border>
      <left style="medium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499984740745262"/>
      </right>
      <top style="thin">
        <color theme="0" tint="-0.34998626667073579"/>
      </top>
      <bottom/>
      <diagonal/>
    </border>
    <border>
      <left style="medium">
        <color theme="0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499984740745262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499984740745262"/>
      </right>
      <top/>
      <bottom style="medium">
        <color theme="0" tint="-0.34998626667073579"/>
      </bottom>
      <diagonal/>
    </border>
    <border>
      <left style="medium">
        <color theme="0" tint="-0.499984740745262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499984740745262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499984740745262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theme="0" tint="-0.499984740745262"/>
      </right>
      <top style="thin">
        <color theme="0" tint="-0.34998626667073579"/>
      </top>
      <bottom/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/>
      <top style="thin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</borders>
  <cellStyleXfs count="1">
    <xf numFmtId="0" fontId="0" fillId="0" borderId="0"/>
  </cellStyleXfs>
  <cellXfs count="437">
    <xf numFmtId="0" fontId="0" fillId="0" borderId="0" xfId="0"/>
    <xf numFmtId="0" fontId="4" fillId="0" borderId="0" xfId="0" applyFont="1"/>
    <xf numFmtId="49" fontId="4" fillId="0" borderId="1" xfId="0" applyNumberFormat="1" applyFont="1" applyBorder="1" applyAlignment="1" applyProtection="1">
      <alignment horizontal="center" vertical="center"/>
      <protection locked="0"/>
    </xf>
    <xf numFmtId="1" fontId="4" fillId="5" borderId="1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2" fontId="0" fillId="0" borderId="0" xfId="0" applyNumberFormat="1" applyProtection="1"/>
    <xf numFmtId="1" fontId="4" fillId="2" borderId="2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49" fontId="0" fillId="0" borderId="0" xfId="0" applyNumberFormat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1" fontId="4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2" fontId="4" fillId="0" borderId="0" xfId="0" applyNumberFormat="1" applyFont="1" applyAlignment="1" applyProtection="1">
      <alignment horizontal="center"/>
    </xf>
    <xf numFmtId="1" fontId="4" fillId="0" borderId="0" xfId="0" applyNumberFormat="1" applyFont="1" applyAlignment="1" applyProtection="1">
      <alignment horizontal="center"/>
    </xf>
    <xf numFmtId="0" fontId="6" fillId="0" borderId="0" xfId="0" applyNumberFormat="1" applyFont="1" applyProtection="1"/>
    <xf numFmtId="1" fontId="6" fillId="0" borderId="0" xfId="0" applyNumberFormat="1" applyFont="1" applyProtection="1"/>
    <xf numFmtId="1" fontId="4" fillId="0" borderId="0" xfId="0" applyNumberFormat="1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 vertical="center"/>
    </xf>
    <xf numFmtId="1" fontId="4" fillId="3" borderId="1" xfId="0" applyNumberFormat="1" applyFont="1" applyFill="1" applyBorder="1" applyAlignment="1" applyProtection="1">
      <alignment horizontal="center" vertical="center"/>
    </xf>
    <xf numFmtId="1" fontId="4" fillId="4" borderId="1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vertical="center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1" fontId="4" fillId="5" borderId="1" xfId="0" applyNumberFormat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0" fillId="6" borderId="0" xfId="0" applyNumberFormat="1" applyFill="1" applyBorder="1" applyAlignment="1" applyProtection="1">
      <alignment horizontal="center"/>
    </xf>
    <xf numFmtId="49" fontId="16" fillId="0" borderId="0" xfId="0" applyNumberFormat="1" applyFont="1" applyFill="1" applyAlignment="1" applyProtection="1">
      <alignment horizontal="center"/>
    </xf>
    <xf numFmtId="49" fontId="0" fillId="0" borderId="0" xfId="0" applyNumberFormat="1" applyFill="1" applyProtection="1"/>
    <xf numFmtId="49" fontId="0" fillId="0" borderId="0" xfId="0" applyNumberFormat="1" applyFill="1" applyAlignment="1" applyProtection="1">
      <alignment horizontal="left"/>
    </xf>
    <xf numFmtId="1" fontId="4" fillId="0" borderId="0" xfId="0" applyNumberFormat="1" applyFont="1" applyFill="1" applyAlignment="1" applyProtection="1">
      <alignment horizontal="left" vertical="center"/>
    </xf>
    <xf numFmtId="49" fontId="4" fillId="0" borderId="0" xfId="0" applyNumberFormat="1" applyFont="1" applyFill="1" applyAlignment="1" applyProtection="1">
      <alignment horizontal="left" vertical="center" wrapText="1"/>
    </xf>
    <xf numFmtId="49" fontId="9" fillId="0" borderId="0" xfId="0" applyNumberFormat="1" applyFont="1" applyFill="1" applyAlignment="1" applyProtection="1">
      <alignment horizontal="left" vertical="center" wrapText="1"/>
    </xf>
    <xf numFmtId="1" fontId="5" fillId="0" borderId="0" xfId="0" applyNumberFormat="1" applyFont="1" applyAlignment="1" applyProtection="1">
      <alignment vertical="center" wrapText="1"/>
    </xf>
    <xf numFmtId="2" fontId="7" fillId="0" borderId="0" xfId="0" applyNumberFormat="1" applyFont="1" applyAlignment="1" applyProtection="1">
      <alignment vertical="center" wrapText="1"/>
    </xf>
    <xf numFmtId="2" fontId="8" fillId="0" borderId="0" xfId="0" applyNumberFormat="1" applyFont="1" applyAlignment="1" applyProtection="1">
      <alignment vertical="top"/>
    </xf>
    <xf numFmtId="0" fontId="4" fillId="0" borderId="0" xfId="0" applyFont="1" applyProtection="1"/>
    <xf numFmtId="1" fontId="4" fillId="0" borderId="0" xfId="0" applyNumberFormat="1" applyFont="1" applyFill="1" applyAlignment="1" applyProtection="1">
      <alignment horizontal="center" vertical="center"/>
    </xf>
    <xf numFmtId="49" fontId="0" fillId="0" borderId="0" xfId="0" applyNumberFormat="1" applyBorder="1" applyProtection="1"/>
    <xf numFmtId="49" fontId="10" fillId="0" borderId="0" xfId="0" applyNumberFormat="1" applyFont="1" applyAlignment="1" applyProtection="1">
      <alignment vertical="top"/>
    </xf>
    <xf numFmtId="49" fontId="0" fillId="0" borderId="0" xfId="0" applyNumberFormat="1" applyAlignment="1" applyProtection="1">
      <alignment vertical="top"/>
    </xf>
    <xf numFmtId="49" fontId="0" fillId="0" borderId="0" xfId="0" applyNumberFormat="1" applyFill="1" applyAlignment="1" applyProtection="1">
      <alignment vertical="top"/>
    </xf>
    <xf numFmtId="1" fontId="0" fillId="0" borderId="0" xfId="0" applyNumberFormat="1" applyAlignment="1" applyProtection="1">
      <alignment vertical="top"/>
    </xf>
    <xf numFmtId="1" fontId="0" fillId="0" borderId="0" xfId="0" applyNumberFormat="1" applyAlignment="1" applyProtection="1">
      <alignment horizontal="center" vertical="top"/>
    </xf>
    <xf numFmtId="2" fontId="0" fillId="0" borderId="0" xfId="0" applyNumberFormat="1" applyAlignment="1" applyProtection="1">
      <alignment vertical="top"/>
    </xf>
    <xf numFmtId="1" fontId="4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Protection="1"/>
    <xf numFmtId="1" fontId="0" fillId="0" borderId="0" xfId="0" applyNumberFormat="1" applyBorder="1" applyProtection="1"/>
    <xf numFmtId="0" fontId="5" fillId="0" borderId="0" xfId="0" applyFont="1" applyAlignment="1" applyProtection="1">
      <alignment vertical="center"/>
    </xf>
    <xf numFmtId="0" fontId="19" fillId="0" borderId="0" xfId="0" applyFont="1"/>
    <xf numFmtId="49" fontId="3" fillId="0" borderId="0" xfId="0" applyNumberFormat="1" applyFont="1" applyAlignment="1" applyProtection="1">
      <alignment vertical="top"/>
    </xf>
    <xf numFmtId="0" fontId="0" fillId="0" borderId="0" xfId="0" applyFill="1" applyBorder="1"/>
    <xf numFmtId="0" fontId="22" fillId="9" borderId="60" xfId="0" applyFont="1" applyFill="1" applyBorder="1"/>
    <xf numFmtId="0" fontId="22" fillId="0" borderId="0" xfId="0" applyFont="1" applyFill="1" applyBorder="1"/>
    <xf numFmtId="0" fontId="19" fillId="0" borderId="59" xfId="0" applyFont="1" applyFill="1" applyBorder="1"/>
    <xf numFmtId="0" fontId="19" fillId="0" borderId="0" xfId="0" applyFont="1" applyFill="1" applyBorder="1"/>
    <xf numFmtId="0" fontId="4" fillId="0" borderId="0" xfId="0" applyFont="1" applyFill="1" applyBorder="1"/>
    <xf numFmtId="0" fontId="4" fillId="0" borderId="61" xfId="0" applyFont="1" applyBorder="1"/>
    <xf numFmtId="0" fontId="0" fillId="0" borderId="0" xfId="0" applyNumberFormat="1"/>
    <xf numFmtId="0" fontId="19" fillId="10" borderId="62" xfId="0" applyFont="1" applyFill="1" applyBorder="1"/>
    <xf numFmtId="0" fontId="19" fillId="0" borderId="61" xfId="0" applyFont="1" applyFill="1" applyBorder="1"/>
    <xf numFmtId="0" fontId="4" fillId="0" borderId="61" xfId="0" applyFont="1" applyFill="1" applyBorder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61" xfId="0" applyFont="1" applyFill="1" applyBorder="1"/>
    <xf numFmtId="0" fontId="4" fillId="0" borderId="0" xfId="0" applyFont="1" applyFill="1" applyBorder="1"/>
    <xf numFmtId="49" fontId="0" fillId="0" borderId="0" xfId="0" applyNumberFormat="1" applyAlignment="1" applyProtection="1">
      <alignment horizontal="left"/>
    </xf>
    <xf numFmtId="49" fontId="0" fillId="0" borderId="0" xfId="0" applyNumberFormat="1" applyProtection="1"/>
    <xf numFmtId="2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1" fontId="0" fillId="6" borderId="0" xfId="0" applyNumberFormat="1" applyFill="1" applyBorder="1" applyAlignment="1" applyProtection="1">
      <alignment horizontal="center"/>
    </xf>
    <xf numFmtId="49" fontId="10" fillId="0" borderId="0" xfId="0" applyNumberFormat="1" applyFont="1" applyAlignment="1" applyProtection="1">
      <alignment horizontal="center" vertical="top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wrapText="1"/>
    </xf>
    <xf numFmtId="0" fontId="4" fillId="0" borderId="3" xfId="0" applyNumberFormat="1" applyFont="1" applyFill="1" applyBorder="1" applyAlignment="1" applyProtection="1">
      <alignment vertical="center"/>
    </xf>
    <xf numFmtId="0" fontId="2" fillId="0" borderId="0" xfId="0" applyNumberFormat="1" applyFont="1" applyAlignment="1" applyProtection="1">
      <alignment horizontal="center" vertical="center"/>
    </xf>
    <xf numFmtId="49" fontId="0" fillId="0" borderId="64" xfId="0" applyNumberFormat="1" applyBorder="1" applyAlignment="1" applyProtection="1">
      <alignment horizontal="center"/>
    </xf>
    <xf numFmtId="0" fontId="0" fillId="0" borderId="65" xfId="0" applyBorder="1" applyAlignment="1" applyProtection="1">
      <alignment horizontal="center"/>
    </xf>
    <xf numFmtId="0" fontId="0" fillId="0" borderId="6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2" fontId="0" fillId="0" borderId="64" xfId="0" applyNumberFormat="1" applyBorder="1" applyAlignment="1" applyProtection="1">
      <alignment horizontal="center"/>
    </xf>
    <xf numFmtId="2" fontId="0" fillId="0" borderId="65" xfId="0" applyNumberFormat="1" applyBorder="1" applyAlignment="1" applyProtection="1">
      <alignment horizontal="center"/>
    </xf>
    <xf numFmtId="1" fontId="0" fillId="0" borderId="65" xfId="0" applyNumberFormat="1" applyBorder="1" applyAlignment="1" applyProtection="1">
      <alignment horizontal="center"/>
    </xf>
    <xf numFmtId="1" fontId="0" fillId="6" borderId="65" xfId="0" applyNumberFormat="1" applyFill="1" applyBorder="1" applyAlignment="1" applyProtection="1">
      <alignment horizontal="center"/>
    </xf>
    <xf numFmtId="1" fontId="0" fillId="0" borderId="3" xfId="0" applyNumberFormat="1" applyBorder="1" applyAlignment="1" applyProtection="1">
      <alignment horizontal="center"/>
    </xf>
    <xf numFmtId="2" fontId="0" fillId="0" borderId="66" xfId="0" applyNumberFormat="1" applyBorder="1" applyAlignment="1" applyProtection="1">
      <alignment horizontal="center"/>
    </xf>
    <xf numFmtId="2" fontId="0" fillId="0" borderId="67" xfId="0" applyNumberFormat="1" applyBorder="1" applyAlignment="1" applyProtection="1">
      <alignment horizontal="center"/>
    </xf>
    <xf numFmtId="2" fontId="0" fillId="0" borderId="68" xfId="0" applyNumberFormat="1" applyBorder="1" applyAlignment="1" applyProtection="1">
      <alignment horizontal="center"/>
    </xf>
    <xf numFmtId="2" fontId="0" fillId="0" borderId="69" xfId="0" applyNumberFormat="1" applyBorder="1" applyAlignment="1" applyProtection="1">
      <alignment horizontal="center"/>
    </xf>
    <xf numFmtId="2" fontId="0" fillId="0" borderId="70" xfId="0" applyNumberFormat="1" applyBorder="1" applyAlignment="1" applyProtection="1">
      <alignment horizontal="center"/>
    </xf>
    <xf numFmtId="2" fontId="0" fillId="0" borderId="71" xfId="0" applyNumberFormat="1" applyBorder="1" applyAlignment="1" applyProtection="1">
      <alignment horizontal="center"/>
    </xf>
    <xf numFmtId="1" fontId="0" fillId="0" borderId="71" xfId="0" applyNumberFormat="1" applyBorder="1" applyAlignment="1" applyProtection="1">
      <alignment horizontal="center"/>
    </xf>
    <xf numFmtId="2" fontId="0" fillId="6" borderId="69" xfId="0" applyNumberFormat="1" applyFill="1" applyBorder="1" applyAlignment="1" applyProtection="1">
      <alignment horizontal="center"/>
    </xf>
    <xf numFmtId="2" fontId="0" fillId="6" borderId="70" xfId="0" applyNumberFormat="1" applyFill="1" applyBorder="1" applyAlignment="1" applyProtection="1">
      <alignment horizontal="center"/>
    </xf>
    <xf numFmtId="1" fontId="0" fillId="6" borderId="71" xfId="0" applyNumberFormat="1" applyFill="1" applyBorder="1" applyAlignment="1" applyProtection="1">
      <alignment horizontal="center"/>
    </xf>
    <xf numFmtId="2" fontId="0" fillId="0" borderId="72" xfId="0" applyNumberFormat="1" applyBorder="1" applyAlignment="1" applyProtection="1">
      <alignment horizontal="center"/>
    </xf>
    <xf numFmtId="2" fontId="0" fillId="0" borderId="73" xfId="0" applyNumberFormat="1" applyBorder="1" applyAlignment="1" applyProtection="1">
      <alignment horizontal="center"/>
    </xf>
    <xf numFmtId="1" fontId="0" fillId="0" borderId="74" xfId="0" applyNumberFormat="1" applyBorder="1" applyAlignment="1" applyProtection="1">
      <alignment horizontal="center"/>
    </xf>
    <xf numFmtId="2" fontId="0" fillId="0" borderId="77" xfId="0" applyNumberFormat="1" applyBorder="1" applyAlignment="1" applyProtection="1">
      <alignment horizontal="center"/>
    </xf>
    <xf numFmtId="2" fontId="0" fillId="0" borderId="78" xfId="0" applyNumberFormat="1" applyBorder="1" applyAlignment="1" applyProtection="1">
      <alignment horizontal="center"/>
    </xf>
    <xf numFmtId="1" fontId="0" fillId="0" borderId="77" xfId="0" applyNumberFormat="1" applyBorder="1" applyAlignment="1" applyProtection="1">
      <alignment horizontal="center"/>
    </xf>
    <xf numFmtId="1" fontId="0" fillId="0" borderId="78" xfId="0" applyNumberFormat="1" applyBorder="1" applyAlignment="1" applyProtection="1">
      <alignment horizontal="center"/>
    </xf>
    <xf numFmtId="1" fontId="0" fillId="6" borderId="77" xfId="0" applyNumberFormat="1" applyFill="1" applyBorder="1" applyAlignment="1" applyProtection="1">
      <alignment horizontal="center"/>
    </xf>
    <xf numFmtId="1" fontId="0" fillId="6" borderId="78" xfId="0" applyNumberFormat="1" applyFill="1" applyBorder="1" applyAlignment="1" applyProtection="1">
      <alignment horizontal="center"/>
    </xf>
    <xf numFmtId="1" fontId="0" fillId="0" borderId="79" xfId="0" applyNumberFormat="1" applyBorder="1" applyAlignment="1" applyProtection="1">
      <alignment horizontal="center"/>
    </xf>
    <xf numFmtId="164" fontId="0" fillId="0" borderId="80" xfId="0" applyNumberFormat="1" applyBorder="1" applyAlignment="1" applyProtection="1">
      <alignment horizontal="center"/>
    </xf>
    <xf numFmtId="1" fontId="0" fillId="0" borderId="81" xfId="0" applyNumberFormat="1" applyBorder="1" applyAlignment="1" applyProtection="1">
      <alignment horizontal="center"/>
    </xf>
    <xf numFmtId="165" fontId="0" fillId="0" borderId="78" xfId="0" applyNumberFormat="1" applyBorder="1" applyAlignment="1" applyProtection="1">
      <alignment horizontal="center"/>
    </xf>
    <xf numFmtId="166" fontId="0" fillId="0" borderId="78" xfId="0" applyNumberFormat="1" applyBorder="1" applyAlignment="1" applyProtection="1">
      <alignment horizontal="center"/>
    </xf>
    <xf numFmtId="2" fontId="0" fillId="6" borderId="77" xfId="0" applyNumberFormat="1" applyFill="1" applyBorder="1" applyAlignment="1" applyProtection="1">
      <alignment horizontal="center"/>
    </xf>
    <xf numFmtId="166" fontId="0" fillId="6" borderId="78" xfId="0" applyNumberFormat="1" applyFill="1" applyBorder="1" applyAlignment="1" applyProtection="1">
      <alignment horizontal="center"/>
    </xf>
    <xf numFmtId="2" fontId="0" fillId="0" borderId="79" xfId="0" applyNumberFormat="1" applyBorder="1" applyAlignment="1" applyProtection="1">
      <alignment horizontal="center"/>
    </xf>
    <xf numFmtId="166" fontId="0" fillId="0" borderId="81" xfId="0" applyNumberFormat="1" applyBorder="1" applyAlignment="1" applyProtection="1">
      <alignment horizontal="center"/>
    </xf>
    <xf numFmtId="1" fontId="0" fillId="0" borderId="80" xfId="0" applyNumberFormat="1" applyBorder="1" applyAlignment="1" applyProtection="1">
      <alignment horizontal="center"/>
    </xf>
    <xf numFmtId="49" fontId="13" fillId="0" borderId="0" xfId="0" applyNumberFormat="1" applyFont="1" applyBorder="1" applyAlignment="1" applyProtection="1"/>
    <xf numFmtId="49" fontId="0" fillId="0" borderId="77" xfId="0" applyNumberFormat="1" applyBorder="1" applyAlignment="1" applyProtection="1">
      <alignment horizontal="center"/>
    </xf>
    <xf numFmtId="49" fontId="0" fillId="0" borderId="78" xfId="0" applyNumberFormat="1" applyBorder="1" applyAlignment="1" applyProtection="1">
      <alignment horizontal="center"/>
    </xf>
    <xf numFmtId="2" fontId="0" fillId="6" borderId="78" xfId="0" applyNumberFormat="1" applyFill="1" applyBorder="1" applyAlignment="1" applyProtection="1">
      <alignment horizontal="center"/>
    </xf>
    <xf numFmtId="2" fontId="0" fillId="0" borderId="81" xfId="0" applyNumberFormat="1" applyBorder="1" applyAlignment="1" applyProtection="1">
      <alignment horizontal="center"/>
    </xf>
    <xf numFmtId="49" fontId="0" fillId="0" borderId="65" xfId="0" applyNumberFormat="1" applyBorder="1" applyAlignment="1" applyProtection="1">
      <alignment horizontal="center"/>
    </xf>
    <xf numFmtId="2" fontId="0" fillId="6" borderId="65" xfId="0" applyNumberFormat="1" applyFill="1" applyBorder="1" applyAlignment="1" applyProtection="1">
      <alignment horizontal="center"/>
    </xf>
    <xf numFmtId="2" fontId="0" fillId="0" borderId="3" xfId="0" applyNumberFormat="1" applyBorder="1" applyAlignment="1" applyProtection="1">
      <alignment horizontal="center"/>
    </xf>
    <xf numFmtId="49" fontId="0" fillId="0" borderId="76" xfId="0" applyNumberFormat="1" applyBorder="1" applyProtection="1"/>
    <xf numFmtId="49" fontId="0" fillId="0" borderId="63" xfId="0" applyNumberFormat="1" applyBorder="1" applyProtection="1"/>
    <xf numFmtId="49" fontId="0" fillId="0" borderId="0" xfId="0" applyNumberFormat="1" applyFill="1" applyBorder="1" applyProtection="1"/>
    <xf numFmtId="1" fontId="4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vertical="top"/>
    </xf>
    <xf numFmtId="1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NumberFormat="1" applyFont="1" applyAlignment="1" applyProtection="1">
      <alignment horizontal="left" vertical="center"/>
    </xf>
    <xf numFmtId="1" fontId="0" fillId="0" borderId="69" xfId="0" applyNumberFormat="1" applyBorder="1" applyAlignment="1" applyProtection="1">
      <alignment horizontal="center"/>
    </xf>
    <xf numFmtId="1" fontId="0" fillId="6" borderId="69" xfId="0" applyNumberFormat="1" applyFill="1" applyBorder="1" applyAlignment="1" applyProtection="1">
      <alignment horizontal="center"/>
    </xf>
    <xf numFmtId="1" fontId="0" fillId="0" borderId="72" xfId="0" applyNumberFormat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vertical="top"/>
    </xf>
    <xf numFmtId="1" fontId="0" fillId="0" borderId="0" xfId="0" applyNumberFormat="1" applyFill="1" applyBorder="1" applyAlignment="1" applyProtection="1">
      <alignment horizontal="center" vertical="top"/>
    </xf>
    <xf numFmtId="1" fontId="18" fillId="0" borderId="0" xfId="0" applyNumberFormat="1" applyFont="1" applyAlignment="1" applyProtection="1">
      <alignment vertical="top"/>
    </xf>
    <xf numFmtId="0" fontId="5" fillId="0" borderId="0" xfId="0" applyNumberFormat="1" applyFont="1" applyAlignment="1" applyProtection="1">
      <alignment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Alignment="1" applyProtection="1">
      <alignment vertical="center" wrapText="1"/>
    </xf>
    <xf numFmtId="0" fontId="18" fillId="0" borderId="0" xfId="0" applyNumberFormat="1" applyFont="1" applyAlignment="1" applyProtection="1">
      <alignment vertical="top"/>
    </xf>
    <xf numFmtId="0" fontId="1" fillId="0" borderId="0" xfId="0" applyNumberFormat="1" applyFont="1" applyAlignment="1" applyProtection="1">
      <alignment horizontal="center" vertical="center"/>
    </xf>
    <xf numFmtId="164" fontId="13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Protection="1"/>
    <xf numFmtId="0" fontId="4" fillId="0" borderId="0" xfId="0" applyNumberFormat="1" applyFont="1" applyProtection="1"/>
    <xf numFmtId="0" fontId="25" fillId="0" borderId="0" xfId="0" applyNumberFormat="1" applyFont="1" applyProtection="1"/>
    <xf numFmtId="49" fontId="9" fillId="0" borderId="80" xfId="0" applyNumberFormat="1" applyFont="1" applyFill="1" applyBorder="1" applyAlignment="1" applyProtection="1">
      <alignment vertical="center"/>
    </xf>
    <xf numFmtId="49" fontId="1" fillId="0" borderId="0" xfId="0" applyNumberFormat="1" applyFont="1" applyProtection="1"/>
    <xf numFmtId="49" fontId="0" fillId="0" borderId="0" xfId="0" applyNumberFormat="1" applyAlignment="1" applyProtection="1">
      <alignment horizontal="right"/>
    </xf>
    <xf numFmtId="0" fontId="26" fillId="0" borderId="0" xfId="0" applyNumberFormat="1" applyFont="1" applyAlignment="1" applyProtection="1">
      <alignment horizontal="center"/>
    </xf>
    <xf numFmtId="49" fontId="0" fillId="0" borderId="75" xfId="0" applyNumberFormat="1" applyBorder="1" applyAlignment="1" applyProtection="1">
      <alignment horizontal="center"/>
    </xf>
    <xf numFmtId="49" fontId="0" fillId="0" borderId="76" xfId="0" applyNumberFormat="1" applyBorder="1" applyAlignment="1" applyProtection="1">
      <alignment horizontal="center"/>
    </xf>
    <xf numFmtId="2" fontId="0" fillId="0" borderId="75" xfId="0" applyNumberFormat="1" applyBorder="1" applyAlignment="1" applyProtection="1">
      <alignment horizontal="center"/>
    </xf>
    <xf numFmtId="2" fontId="0" fillId="0" borderId="76" xfId="0" applyNumberFormat="1" applyBorder="1" applyAlignment="1" applyProtection="1">
      <alignment horizontal="center"/>
    </xf>
    <xf numFmtId="2" fontId="0" fillId="0" borderId="63" xfId="0" applyNumberFormat="1" applyBorder="1" applyAlignment="1" applyProtection="1">
      <alignment horizontal="center"/>
    </xf>
    <xf numFmtId="49" fontId="0" fillId="0" borderId="63" xfId="0" applyNumberFormat="1" applyBorder="1" applyAlignment="1" applyProtection="1">
      <alignment horizontal="center"/>
    </xf>
    <xf numFmtId="1" fontId="4" fillId="0" borderId="1" xfId="0" applyNumberFormat="1" applyFont="1" applyBorder="1" applyAlignment="1" applyProtection="1">
      <alignment horizontal="center"/>
    </xf>
    <xf numFmtId="1" fontId="4" fillId="0" borderId="0" xfId="0" applyNumberFormat="1" applyFont="1" applyAlignment="1" applyProtection="1">
      <alignment horizontal="left" vertical="center"/>
    </xf>
    <xf numFmtId="0" fontId="4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Border="1" applyProtection="1"/>
    <xf numFmtId="0" fontId="30" fillId="0" borderId="0" xfId="0" applyFont="1" applyBorder="1" applyAlignment="1" applyProtection="1">
      <alignment horizontal="left" wrapText="1"/>
    </xf>
    <xf numFmtId="0" fontId="29" fillId="0" borderId="0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0" fillId="0" borderId="0" xfId="0" applyAlignment="1" applyProtection="1">
      <alignment horizontal="right"/>
    </xf>
    <xf numFmtId="49" fontId="0" fillId="0" borderId="85" xfId="0" applyNumberFormat="1" applyBorder="1" applyAlignment="1" applyProtection="1">
      <alignment horizontal="center"/>
    </xf>
    <xf numFmtId="49" fontId="0" fillId="0" borderId="84" xfId="0" applyNumberFormat="1" applyBorder="1" applyAlignment="1" applyProtection="1">
      <alignment horizontal="center"/>
    </xf>
    <xf numFmtId="49" fontId="0" fillId="0" borderId="67" xfId="0" applyNumberFormat="1" applyBorder="1" applyAlignment="1" applyProtection="1">
      <alignment horizontal="center"/>
    </xf>
    <xf numFmtId="49" fontId="0" fillId="0" borderId="75" xfId="0" applyNumberFormat="1" applyBorder="1" applyProtection="1"/>
    <xf numFmtId="49" fontId="0" fillId="0" borderId="87" xfId="0" applyNumberFormat="1" applyBorder="1" applyAlignment="1" applyProtection="1">
      <alignment horizontal="center"/>
    </xf>
    <xf numFmtId="49" fontId="0" fillId="0" borderId="86" xfId="0" applyNumberFormat="1" applyBorder="1" applyAlignment="1" applyProtection="1">
      <alignment horizontal="center"/>
    </xf>
    <xf numFmtId="49" fontId="0" fillId="0" borderId="70" xfId="0" applyNumberFormat="1" applyBorder="1" applyAlignment="1" applyProtection="1">
      <alignment horizontal="center"/>
    </xf>
    <xf numFmtId="164" fontId="0" fillId="0" borderId="77" xfId="0" applyNumberFormat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0" fillId="0" borderId="78" xfId="0" applyNumberFormat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68" fontId="0" fillId="0" borderId="0" xfId="0" applyNumberFormat="1" applyAlignment="1" applyProtection="1">
      <alignment horizontal="center"/>
    </xf>
    <xf numFmtId="168" fontId="0" fillId="0" borderId="0" xfId="0" applyNumberFormat="1" applyBorder="1" applyAlignment="1" applyProtection="1">
      <alignment horizontal="center"/>
    </xf>
    <xf numFmtId="1" fontId="0" fillId="0" borderId="87" xfId="0" applyNumberFormat="1" applyBorder="1" applyAlignment="1" applyProtection="1">
      <alignment horizontal="center"/>
    </xf>
    <xf numFmtId="1" fontId="0" fillId="0" borderId="86" xfId="0" applyNumberFormat="1" applyBorder="1" applyAlignment="1" applyProtection="1">
      <alignment horizontal="center"/>
    </xf>
    <xf numFmtId="1" fontId="0" fillId="0" borderId="70" xfId="0" applyNumberFormat="1" applyBorder="1" applyAlignment="1" applyProtection="1">
      <alignment horizontal="center"/>
    </xf>
    <xf numFmtId="0" fontId="0" fillId="0" borderId="0" xfId="0" applyAlignment="1" applyProtection="1">
      <alignment wrapText="1"/>
    </xf>
    <xf numFmtId="165" fontId="0" fillId="0" borderId="0" xfId="0" applyNumberFormat="1" applyAlignment="1" applyProtection="1">
      <alignment horizontal="center"/>
    </xf>
    <xf numFmtId="167" fontId="0" fillId="0" borderId="0" xfId="0" applyNumberFormat="1" applyAlignment="1" applyProtection="1">
      <alignment horizontal="center"/>
    </xf>
    <xf numFmtId="169" fontId="0" fillId="0" borderId="0" xfId="0" applyNumberFormat="1" applyAlignment="1" applyProtection="1">
      <alignment horizontal="center"/>
    </xf>
    <xf numFmtId="169" fontId="0" fillId="0" borderId="86" xfId="0" applyNumberFormat="1" applyBorder="1" applyAlignment="1" applyProtection="1">
      <alignment horizontal="center"/>
    </xf>
    <xf numFmtId="0" fontId="0" fillId="0" borderId="77" xfId="0" applyNumberFormat="1" applyBorder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164" fontId="13" fillId="0" borderId="0" xfId="0" applyNumberFormat="1" applyFont="1" applyAlignment="1" applyProtection="1">
      <alignment horizontal="center"/>
    </xf>
    <xf numFmtId="164" fontId="13" fillId="0" borderId="78" xfId="0" applyNumberFormat="1" applyFont="1" applyBorder="1" applyAlignment="1" applyProtection="1">
      <alignment horizontal="center"/>
    </xf>
    <xf numFmtId="1" fontId="4" fillId="0" borderId="77" xfId="0" applyNumberFormat="1" applyFont="1" applyBorder="1" applyAlignment="1" applyProtection="1">
      <alignment horizontal="center" vertical="center"/>
    </xf>
    <xf numFmtId="49" fontId="0" fillId="0" borderId="77" xfId="0" applyNumberFormat="1" applyBorder="1" applyProtection="1"/>
    <xf numFmtId="0" fontId="0" fillId="0" borderId="77" xfId="0" applyNumberFormat="1" applyBorder="1" applyProtection="1"/>
    <xf numFmtId="49" fontId="0" fillId="0" borderId="78" xfId="0" applyNumberFormat="1" applyBorder="1" applyProtection="1"/>
    <xf numFmtId="0" fontId="0" fillId="0" borderId="78" xfId="0" applyNumberFormat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0" fillId="6" borderId="0" xfId="0" applyNumberFormat="1" applyFill="1" applyBorder="1" applyAlignment="1" applyProtection="1">
      <alignment horizontal="center"/>
    </xf>
    <xf numFmtId="168" fontId="0" fillId="6" borderId="0" xfId="0" applyNumberFormat="1" applyFill="1" applyBorder="1" applyAlignment="1" applyProtection="1">
      <alignment horizontal="center"/>
    </xf>
    <xf numFmtId="1" fontId="0" fillId="6" borderId="87" xfId="0" applyNumberFormat="1" applyFill="1" applyBorder="1" applyAlignment="1" applyProtection="1">
      <alignment horizontal="center"/>
    </xf>
    <xf numFmtId="1" fontId="0" fillId="6" borderId="86" xfId="0" applyNumberFormat="1" applyFill="1" applyBorder="1" applyAlignment="1" applyProtection="1">
      <alignment horizontal="center"/>
    </xf>
    <xf numFmtId="1" fontId="0" fillId="6" borderId="70" xfId="0" applyNumberFormat="1" applyFill="1" applyBorder="1" applyAlignment="1" applyProtection="1">
      <alignment horizontal="center"/>
    </xf>
    <xf numFmtId="167" fontId="0" fillId="6" borderId="78" xfId="0" applyNumberFormat="1" applyFill="1" applyBorder="1" applyAlignment="1" applyProtection="1">
      <alignment horizontal="center"/>
    </xf>
    <xf numFmtId="169" fontId="0" fillId="6" borderId="0" xfId="0" applyNumberFormat="1" applyFill="1" applyBorder="1" applyAlignment="1" applyProtection="1">
      <alignment horizontal="center"/>
    </xf>
    <xf numFmtId="0" fontId="0" fillId="6" borderId="77" xfId="0" applyNumberFormat="1" applyFill="1" applyBorder="1" applyAlignment="1" applyProtection="1">
      <alignment horizontal="center"/>
    </xf>
    <xf numFmtId="1" fontId="4" fillId="0" borderId="4" xfId="0" applyNumberFormat="1" applyFont="1" applyFill="1" applyBorder="1" applyAlignment="1" applyProtection="1">
      <alignment horizontal="center"/>
    </xf>
    <xf numFmtId="1" fontId="0" fillId="0" borderId="77" xfId="0" applyNumberFormat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168" fontId="0" fillId="0" borderId="0" xfId="0" applyNumberFormat="1" applyFill="1" applyAlignment="1" applyProtection="1">
      <alignment horizontal="center"/>
    </xf>
    <xf numFmtId="168" fontId="0" fillId="0" borderId="0" xfId="0" applyNumberFormat="1" applyFill="1" applyBorder="1" applyAlignment="1" applyProtection="1">
      <alignment horizontal="center"/>
    </xf>
    <xf numFmtId="1" fontId="0" fillId="0" borderId="87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" fontId="0" fillId="0" borderId="86" xfId="0" applyNumberFormat="1" applyFill="1" applyBorder="1" applyAlignment="1" applyProtection="1">
      <alignment horizontal="center"/>
    </xf>
    <xf numFmtId="1" fontId="0" fillId="0" borderId="70" xfId="0" applyNumberFormat="1" applyFill="1" applyBorder="1" applyAlignment="1" applyProtection="1">
      <alignment horizontal="center"/>
    </xf>
    <xf numFmtId="1" fontId="0" fillId="0" borderId="78" xfId="0" applyNumberFormat="1" applyFill="1" applyBorder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1" fontId="0" fillId="0" borderId="65" xfId="0" applyNumberFormat="1" applyFill="1" applyBorder="1" applyAlignment="1" applyProtection="1">
      <alignment horizontal="center"/>
    </xf>
    <xf numFmtId="2" fontId="0" fillId="0" borderId="77" xfId="0" applyNumberFormat="1" applyFill="1" applyBorder="1" applyAlignment="1" applyProtection="1">
      <alignment horizontal="center"/>
    </xf>
    <xf numFmtId="2" fontId="0" fillId="0" borderId="78" xfId="0" applyNumberFormat="1" applyFill="1" applyBorder="1" applyAlignment="1" applyProtection="1">
      <alignment horizontal="center"/>
    </xf>
    <xf numFmtId="2" fontId="0" fillId="0" borderId="65" xfId="0" applyNumberFormat="1" applyFill="1" applyBorder="1" applyAlignment="1" applyProtection="1">
      <alignment horizontal="center"/>
    </xf>
    <xf numFmtId="169" fontId="0" fillId="0" borderId="0" xfId="0" applyNumberFormat="1" applyFill="1" applyAlignment="1" applyProtection="1">
      <alignment horizontal="center"/>
    </xf>
    <xf numFmtId="169" fontId="0" fillId="0" borderId="86" xfId="0" applyNumberFormat="1" applyFill="1" applyBorder="1" applyAlignment="1" applyProtection="1">
      <alignment horizontal="center"/>
    </xf>
    <xf numFmtId="0" fontId="0" fillId="0" borderId="77" xfId="0" applyNumberFormat="1" applyFill="1" applyBorder="1" applyAlignment="1" applyProtection="1">
      <alignment horizontal="center"/>
    </xf>
    <xf numFmtId="1" fontId="4" fillId="0" borderId="79" xfId="0" applyNumberFormat="1" applyFont="1" applyBorder="1" applyAlignment="1" applyProtection="1">
      <alignment horizontal="center" vertical="center"/>
    </xf>
    <xf numFmtId="49" fontId="0" fillId="0" borderId="80" xfId="0" applyNumberFormat="1" applyBorder="1" applyProtection="1"/>
    <xf numFmtId="49" fontId="0" fillId="0" borderId="80" xfId="0" applyNumberFormat="1" applyBorder="1" applyAlignment="1" applyProtection="1">
      <alignment horizontal="center"/>
    </xf>
    <xf numFmtId="0" fontId="0" fillId="0" borderId="80" xfId="0" applyNumberFormat="1" applyBorder="1" applyAlignment="1" applyProtection="1">
      <alignment horizontal="center"/>
    </xf>
    <xf numFmtId="168" fontId="0" fillId="0" borderId="80" xfId="0" applyNumberFormat="1" applyBorder="1" applyAlignment="1" applyProtection="1">
      <alignment horizontal="center"/>
    </xf>
    <xf numFmtId="1" fontId="0" fillId="0" borderId="89" xfId="0" applyNumberFormat="1" applyBorder="1" applyAlignment="1" applyProtection="1">
      <alignment horizontal="center"/>
    </xf>
    <xf numFmtId="1" fontId="0" fillId="0" borderId="88" xfId="0" applyNumberFormat="1" applyBorder="1" applyAlignment="1" applyProtection="1">
      <alignment horizontal="center"/>
    </xf>
    <xf numFmtId="1" fontId="0" fillId="0" borderId="73" xfId="0" applyNumberFormat="1" applyBorder="1" applyAlignment="1" applyProtection="1">
      <alignment horizontal="center"/>
    </xf>
    <xf numFmtId="49" fontId="0" fillId="0" borderId="79" xfId="0" applyNumberFormat="1" applyBorder="1" applyProtection="1"/>
    <xf numFmtId="0" fontId="0" fillId="0" borderId="79" xfId="0" applyBorder="1" applyAlignment="1" applyProtection="1">
      <alignment horizontal="center"/>
    </xf>
    <xf numFmtId="0" fontId="0" fillId="0" borderId="80" xfId="0" applyBorder="1" applyAlignment="1" applyProtection="1">
      <alignment horizontal="center"/>
    </xf>
    <xf numFmtId="0" fontId="0" fillId="0" borderId="80" xfId="0" applyBorder="1" applyProtection="1"/>
    <xf numFmtId="0" fontId="0" fillId="0" borderId="81" xfId="0" applyBorder="1" applyAlignment="1" applyProtection="1">
      <alignment horizontal="center"/>
    </xf>
    <xf numFmtId="167" fontId="0" fillId="0" borderId="80" xfId="0" applyNumberFormat="1" applyBorder="1" applyAlignment="1" applyProtection="1">
      <alignment horizontal="center"/>
    </xf>
    <xf numFmtId="169" fontId="0" fillId="0" borderId="80" xfId="0" applyNumberFormat="1" applyBorder="1" applyAlignment="1" applyProtection="1">
      <alignment horizontal="center"/>
    </xf>
    <xf numFmtId="169" fontId="0" fillId="0" borderId="88" xfId="0" applyNumberFormat="1" applyBorder="1" applyAlignment="1" applyProtection="1">
      <alignment horizontal="center"/>
    </xf>
    <xf numFmtId="0" fontId="0" fillId="0" borderId="79" xfId="0" applyNumberFormat="1" applyBorder="1" applyProtection="1"/>
    <xf numFmtId="49" fontId="0" fillId="0" borderId="81" xfId="0" applyNumberFormat="1" applyBorder="1" applyProtection="1"/>
    <xf numFmtId="1" fontId="0" fillId="0" borderId="79" xfId="0" applyNumberFormat="1" applyFill="1" applyBorder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2" fontId="0" fillId="0" borderId="76" xfId="0" applyNumberFormat="1" applyBorder="1" applyAlignment="1" applyProtection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1" fillId="0" borderId="0" xfId="0" applyFont="1"/>
    <xf numFmtId="1" fontId="32" fillId="0" borderId="0" xfId="0" applyNumberFormat="1" applyFont="1" applyAlignment="1" applyProtection="1">
      <alignment horizontal="center" vertical="center" wrapText="1"/>
    </xf>
    <xf numFmtId="2" fontId="32" fillId="0" borderId="0" xfId="0" applyNumberFormat="1" applyFont="1" applyAlignment="1" applyProtection="1">
      <alignment horizontal="center" vertical="top"/>
    </xf>
    <xf numFmtId="2" fontId="0" fillId="0" borderId="90" xfId="0" applyNumberFormat="1" applyFill="1" applyBorder="1" applyAlignment="1" applyProtection="1">
      <alignment horizontal="center"/>
    </xf>
    <xf numFmtId="2" fontId="0" fillId="0" borderId="91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0" fontId="30" fillId="0" borderId="0" xfId="0" applyFont="1" applyBorder="1" applyAlignment="1" applyProtection="1">
      <alignment horizontal="left" wrapText="1"/>
    </xf>
    <xf numFmtId="0" fontId="23" fillId="0" borderId="0" xfId="0" applyFont="1" applyBorder="1" applyAlignment="1" applyProtection="1">
      <alignment horizontal="left" vertical="center" wrapText="1"/>
    </xf>
    <xf numFmtId="0" fontId="23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left" vertical="center" wrapText="1"/>
    </xf>
    <xf numFmtId="2" fontId="4" fillId="0" borderId="1" xfId="0" applyNumberFormat="1" applyFont="1" applyBorder="1" applyAlignment="1" applyProtection="1">
      <alignment horizontal="center"/>
    </xf>
    <xf numFmtId="1" fontId="4" fillId="0" borderId="1" xfId="0" applyNumberFormat="1" applyFont="1" applyBorder="1" applyAlignment="1" applyProtection="1">
      <alignment horizontal="center"/>
    </xf>
    <xf numFmtId="1" fontId="4" fillId="5" borderId="4" xfId="0" applyNumberFormat="1" applyFont="1" applyFill="1" applyBorder="1" applyAlignment="1" applyProtection="1">
      <alignment horizontal="center" vertical="center"/>
    </xf>
    <xf numFmtId="1" fontId="4" fillId="5" borderId="6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/>
    </xf>
    <xf numFmtId="2" fontId="4" fillId="0" borderId="6" xfId="0" applyNumberFormat="1" applyFont="1" applyBorder="1" applyAlignment="1" applyProtection="1">
      <alignment horizont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49" fontId="9" fillId="0" borderId="82" xfId="0" applyNumberFormat="1" applyFont="1" applyFill="1" applyBorder="1" applyAlignment="1" applyProtection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Alignment="1" applyProtection="1">
      <alignment horizontal="center" vertical="center"/>
    </xf>
    <xf numFmtId="2" fontId="0" fillId="0" borderId="76" xfId="0" applyNumberFormat="1" applyBorder="1" applyAlignment="1" applyProtection="1">
      <alignment horizontal="center"/>
    </xf>
    <xf numFmtId="2" fontId="0" fillId="0" borderId="75" xfId="0" applyNumberFormat="1" applyBorder="1" applyAlignment="1" applyProtection="1">
      <alignment horizontal="center"/>
    </xf>
    <xf numFmtId="2" fontId="0" fillId="0" borderId="63" xfId="0" applyNumberFormat="1" applyBorder="1" applyAlignment="1" applyProtection="1">
      <alignment horizontal="center"/>
    </xf>
    <xf numFmtId="49" fontId="0" fillId="0" borderId="75" xfId="0" applyNumberFormat="1" applyBorder="1" applyAlignment="1" applyProtection="1">
      <alignment horizontal="center"/>
    </xf>
    <xf numFmtId="49" fontId="0" fillId="0" borderId="63" xfId="0" applyNumberFormat="1" applyBorder="1" applyAlignment="1" applyProtection="1">
      <alignment horizontal="center"/>
    </xf>
    <xf numFmtId="1" fontId="4" fillId="2" borderId="10" xfId="0" applyNumberFormat="1" applyFont="1" applyFill="1" applyBorder="1" applyAlignment="1" applyProtection="1">
      <alignment horizontal="center" vertical="center" wrapText="1"/>
    </xf>
    <xf numFmtId="1" fontId="4" fillId="2" borderId="11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Alignment="1" applyProtection="1">
      <alignment horizontal="left" vertical="center" wrapText="1"/>
    </xf>
    <xf numFmtId="49" fontId="9" fillId="7" borderId="0" xfId="0" applyNumberFormat="1" applyFont="1" applyFill="1" applyAlignment="1" applyProtection="1">
      <alignment horizontal="center" vertical="center"/>
    </xf>
    <xf numFmtId="49" fontId="9" fillId="8" borderId="0" xfId="0" applyNumberFormat="1" applyFont="1" applyFill="1" applyAlignment="1" applyProtection="1">
      <alignment horizontal="center" vertical="center"/>
    </xf>
    <xf numFmtId="0" fontId="9" fillId="7" borderId="0" xfId="0" applyNumberFormat="1" applyFont="1" applyFill="1" applyAlignment="1" applyProtection="1">
      <alignment horizontal="center" vertical="center"/>
    </xf>
    <xf numFmtId="0" fontId="9" fillId="8" borderId="0" xfId="0" applyNumberFormat="1" applyFont="1" applyFill="1" applyAlignment="1" applyProtection="1">
      <alignment horizontal="center" vertical="center"/>
    </xf>
    <xf numFmtId="49" fontId="9" fillId="0" borderId="76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horizontal="left" vertical="center" wrapText="1"/>
    </xf>
    <xf numFmtId="0" fontId="18" fillId="0" borderId="0" xfId="0" applyNumberFormat="1" applyFont="1" applyAlignment="1" applyProtection="1">
      <alignment horizontal="center" vertical="top"/>
    </xf>
    <xf numFmtId="1" fontId="4" fillId="0" borderId="0" xfId="0" applyNumberFormat="1" applyFont="1" applyAlignment="1" applyProtection="1">
      <alignment horizontal="left" vertical="center"/>
    </xf>
    <xf numFmtId="0" fontId="5" fillId="0" borderId="0" xfId="0" applyNumberFormat="1" applyFont="1" applyAlignment="1" applyProtection="1">
      <alignment horizontal="center" vertical="center" wrapText="1"/>
    </xf>
    <xf numFmtId="1" fontId="4" fillId="2" borderId="33" xfId="0" applyNumberFormat="1" applyFont="1" applyFill="1" applyBorder="1" applyAlignment="1" applyProtection="1">
      <alignment horizontal="center" vertical="center" wrapText="1"/>
    </xf>
    <xf numFmtId="1" fontId="4" fillId="2" borderId="35" xfId="0" applyNumberFormat="1" applyFont="1" applyFill="1" applyBorder="1" applyAlignment="1" applyProtection="1">
      <alignment horizontal="center" vertical="center" wrapText="1"/>
    </xf>
    <xf numFmtId="1" fontId="4" fillId="2" borderId="83" xfId="0" applyNumberFormat="1" applyFont="1" applyFill="1" applyBorder="1" applyAlignment="1" applyProtection="1">
      <alignment horizontal="center" vertical="center" wrapText="1"/>
    </xf>
    <xf numFmtId="1" fontId="4" fillId="2" borderId="58" xfId="0" applyNumberFormat="1" applyFont="1" applyFill="1" applyBorder="1" applyAlignment="1" applyProtection="1">
      <alignment horizontal="center" vertical="center" wrapText="1"/>
    </xf>
    <xf numFmtId="49" fontId="4" fillId="2" borderId="10" xfId="0" applyNumberFormat="1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center"/>
    </xf>
    <xf numFmtId="2" fontId="4" fillId="0" borderId="5" xfId="0" applyNumberFormat="1" applyFont="1" applyBorder="1" applyAlignment="1" applyProtection="1">
      <alignment horizontal="center"/>
    </xf>
    <xf numFmtId="1" fontId="4" fillId="0" borderId="5" xfId="0" applyNumberFormat="1" applyFont="1" applyBorder="1" applyAlignment="1" applyProtection="1">
      <alignment horizontal="center"/>
    </xf>
    <xf numFmtId="49" fontId="26" fillId="0" borderId="0" xfId="0" applyNumberFormat="1" applyFont="1" applyAlignment="1" applyProtection="1">
      <alignment horizontal="right"/>
    </xf>
    <xf numFmtId="1" fontId="0" fillId="0" borderId="0" xfId="0" applyNumberFormat="1" applyAlignment="1" applyProtection="1">
      <alignment horizontal="center" vertical="center" wrapText="1"/>
    </xf>
    <xf numFmtId="1" fontId="5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wrapText="1"/>
    </xf>
    <xf numFmtId="0" fontId="11" fillId="0" borderId="0" xfId="0" applyNumberFormat="1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49" fontId="4" fillId="6" borderId="15" xfId="0" applyNumberFormat="1" applyFont="1" applyFill="1" applyBorder="1" applyAlignment="1" applyProtection="1">
      <alignment horizontal="left" vertical="center"/>
    </xf>
    <xf numFmtId="49" fontId="4" fillId="0" borderId="16" xfId="0" applyNumberFormat="1" applyFont="1" applyBorder="1" applyAlignment="1" applyProtection="1">
      <alignment horizontal="center" vertical="center"/>
    </xf>
    <xf numFmtId="49" fontId="4" fillId="0" borderId="15" xfId="0" applyNumberFormat="1" applyFont="1" applyBorder="1" applyAlignment="1" applyProtection="1">
      <alignment horizontal="left" vertical="center"/>
    </xf>
    <xf numFmtId="49" fontId="4" fillId="0" borderId="18" xfId="0" applyNumberFormat="1" applyFont="1" applyBorder="1" applyAlignment="1" applyProtection="1">
      <alignment horizontal="left" vertical="center"/>
    </xf>
    <xf numFmtId="49" fontId="4" fillId="0" borderId="19" xfId="0" applyNumberFormat="1" applyFont="1" applyBorder="1" applyAlignment="1" applyProtection="1">
      <alignment horizontal="center" vertical="center"/>
    </xf>
    <xf numFmtId="0" fontId="4" fillId="0" borderId="16" xfId="0" applyNumberFormat="1" applyFont="1" applyBorder="1" applyAlignment="1" applyProtection="1">
      <alignment horizontal="left" vertical="center" wrapText="1"/>
    </xf>
    <xf numFmtId="0" fontId="4" fillId="0" borderId="17" xfId="0" applyNumberFormat="1" applyFont="1" applyBorder="1" applyAlignment="1" applyProtection="1">
      <alignment horizontal="left" vertical="center" wrapText="1"/>
    </xf>
    <xf numFmtId="0" fontId="4" fillId="0" borderId="19" xfId="0" applyNumberFormat="1" applyFont="1" applyBorder="1" applyAlignment="1" applyProtection="1">
      <alignment horizontal="left" vertical="center" wrapText="1"/>
    </xf>
    <xf numFmtId="0" fontId="4" fillId="0" borderId="20" xfId="0" applyNumberFormat="1" applyFont="1" applyBorder="1" applyAlignment="1" applyProtection="1">
      <alignment horizontal="left" vertical="center" wrapText="1"/>
    </xf>
    <xf numFmtId="0" fontId="4" fillId="0" borderId="39" xfId="0" applyNumberFormat="1" applyFont="1" applyBorder="1" applyAlignment="1" applyProtection="1">
      <alignment horizontal="left" vertical="center"/>
    </xf>
    <xf numFmtId="0" fontId="4" fillId="0" borderId="40" xfId="0" applyNumberFormat="1" applyFont="1" applyBorder="1" applyAlignment="1" applyProtection="1">
      <alignment horizontal="left" vertical="center"/>
    </xf>
    <xf numFmtId="0" fontId="4" fillId="0" borderId="28" xfId="0" applyNumberFormat="1" applyFont="1" applyBorder="1" applyAlignment="1" applyProtection="1">
      <alignment horizontal="center" vertical="center"/>
    </xf>
    <xf numFmtId="0" fontId="4" fillId="0" borderId="31" xfId="0" applyNumberFormat="1" applyFont="1" applyBorder="1" applyAlignment="1" applyProtection="1">
      <alignment horizontal="center" vertical="center"/>
    </xf>
    <xf numFmtId="0" fontId="4" fillId="0" borderId="24" xfId="0" applyNumberFormat="1" applyFont="1" applyBorder="1" applyAlignment="1" applyProtection="1">
      <alignment horizontal="left" vertical="center"/>
    </xf>
    <xf numFmtId="0" fontId="4" fillId="0" borderId="15" xfId="0" applyNumberFormat="1" applyFont="1" applyBorder="1" applyAlignment="1" applyProtection="1">
      <alignment horizontal="left" vertical="center"/>
    </xf>
    <xf numFmtId="0" fontId="4" fillId="0" borderId="25" xfId="0" applyNumberFormat="1" applyFont="1" applyBorder="1" applyAlignment="1" applyProtection="1">
      <alignment horizontal="center" vertical="center"/>
    </xf>
    <xf numFmtId="0" fontId="4" fillId="0" borderId="16" xfId="0" applyNumberFormat="1" applyFont="1" applyBorder="1" applyAlignment="1" applyProtection="1">
      <alignment horizontal="center" vertical="center"/>
    </xf>
    <xf numFmtId="0" fontId="4" fillId="6" borderId="15" xfId="0" applyNumberFormat="1" applyFont="1" applyFill="1" applyBorder="1" applyAlignment="1" applyProtection="1">
      <alignment horizontal="left" vertical="center"/>
    </xf>
    <xf numFmtId="0" fontId="4" fillId="3" borderId="15" xfId="0" applyNumberFormat="1" applyFont="1" applyFill="1" applyBorder="1" applyAlignment="1" applyProtection="1">
      <alignment horizontal="left" vertical="center" wrapText="1"/>
    </xf>
    <xf numFmtId="0" fontId="4" fillId="3" borderId="15" xfId="0" applyNumberFormat="1" applyFont="1" applyFill="1" applyBorder="1" applyAlignment="1" applyProtection="1">
      <alignment horizontal="left" vertical="center"/>
    </xf>
    <xf numFmtId="0" fontId="4" fillId="0" borderId="21" xfId="0" applyNumberFormat="1" applyFont="1" applyBorder="1" applyAlignment="1" applyProtection="1">
      <alignment horizontal="left" vertical="center" wrapText="1"/>
    </xf>
    <xf numFmtId="0" fontId="4" fillId="0" borderId="45" xfId="0" applyNumberFormat="1" applyFont="1" applyBorder="1" applyAlignment="1" applyProtection="1">
      <alignment horizontal="left" vertical="center" wrapText="1"/>
    </xf>
    <xf numFmtId="0" fontId="4" fillId="0" borderId="24" xfId="0" applyNumberFormat="1" applyFont="1" applyBorder="1" applyAlignment="1" applyProtection="1">
      <alignment horizontal="left" vertical="center" wrapText="1"/>
    </xf>
    <xf numFmtId="0" fontId="4" fillId="0" borderId="21" xfId="0" applyNumberFormat="1" applyFont="1" applyBorder="1" applyAlignment="1" applyProtection="1">
      <alignment horizontal="left" vertical="center"/>
    </xf>
    <xf numFmtId="0" fontId="4" fillId="0" borderId="45" xfId="0" applyNumberFormat="1" applyFont="1" applyBorder="1" applyAlignment="1" applyProtection="1">
      <alignment horizontal="left" vertical="center"/>
    </xf>
    <xf numFmtId="0" fontId="4" fillId="0" borderId="55" xfId="0" applyNumberFormat="1" applyFont="1" applyBorder="1" applyAlignment="1" applyProtection="1">
      <alignment horizontal="left" vertical="center"/>
    </xf>
    <xf numFmtId="0" fontId="4" fillId="0" borderId="19" xfId="0" applyNumberFormat="1" applyFont="1" applyBorder="1" applyAlignment="1" applyProtection="1">
      <alignment horizontal="center" vertical="center"/>
    </xf>
    <xf numFmtId="49" fontId="4" fillId="0" borderId="16" xfId="0" applyNumberFormat="1" applyFont="1" applyBorder="1" applyAlignment="1" applyProtection="1">
      <alignment horizontal="left" vertical="center" wrapText="1"/>
    </xf>
    <xf numFmtId="49" fontId="4" fillId="0" borderId="16" xfId="0" applyNumberFormat="1" applyFont="1" applyBorder="1" applyAlignment="1" applyProtection="1">
      <alignment horizontal="left" vertical="center"/>
    </xf>
    <xf numFmtId="49" fontId="4" fillId="0" borderId="17" xfId="0" applyNumberFormat="1" applyFont="1" applyBorder="1" applyAlignment="1" applyProtection="1">
      <alignment horizontal="left" vertical="center"/>
    </xf>
    <xf numFmtId="0" fontId="4" fillId="0" borderId="52" xfId="0" applyNumberFormat="1" applyFont="1" applyBorder="1" applyAlignment="1" applyProtection="1">
      <alignment horizontal="left" vertical="center" wrapText="1"/>
    </xf>
    <xf numFmtId="0" fontId="4" fillId="0" borderId="53" xfId="0" applyNumberFormat="1" applyFont="1" applyBorder="1" applyAlignment="1" applyProtection="1">
      <alignment horizontal="left" vertical="center"/>
    </xf>
    <xf numFmtId="0" fontId="4" fillId="0" borderId="54" xfId="0" applyNumberFormat="1" applyFont="1" applyBorder="1" applyAlignment="1" applyProtection="1">
      <alignment horizontal="left" vertical="center"/>
    </xf>
    <xf numFmtId="0" fontId="4" fillId="0" borderId="47" xfId="0" applyNumberFormat="1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left" vertical="center"/>
    </xf>
    <xf numFmtId="0" fontId="4" fillId="0" borderId="48" xfId="0" applyNumberFormat="1" applyFont="1" applyBorder="1" applyAlignment="1" applyProtection="1">
      <alignment horizontal="left" vertical="center"/>
    </xf>
    <xf numFmtId="0" fontId="4" fillId="0" borderId="56" xfId="0" applyNumberFormat="1" applyFont="1" applyBorder="1" applyAlignment="1" applyProtection="1">
      <alignment horizontal="left" vertical="center"/>
    </xf>
    <xf numFmtId="0" fontId="4" fillId="0" borderId="57" xfId="0" applyNumberFormat="1" applyFont="1" applyBorder="1" applyAlignment="1" applyProtection="1">
      <alignment horizontal="left" vertical="center"/>
    </xf>
    <xf numFmtId="0" fontId="4" fillId="0" borderId="58" xfId="0" applyNumberFormat="1" applyFont="1" applyBorder="1" applyAlignment="1" applyProtection="1">
      <alignment horizontal="left" vertical="center"/>
    </xf>
    <xf numFmtId="0" fontId="4" fillId="0" borderId="53" xfId="0" applyNumberFormat="1" applyFont="1" applyBorder="1" applyAlignment="1" applyProtection="1">
      <alignment horizontal="left" vertical="center" wrapText="1"/>
    </xf>
    <xf numFmtId="0" fontId="4" fillId="0" borderId="54" xfId="0" applyNumberFormat="1" applyFont="1" applyBorder="1" applyAlignment="1" applyProtection="1">
      <alignment horizontal="left" vertical="center" wrapText="1"/>
    </xf>
    <xf numFmtId="0" fontId="4" fillId="0" borderId="47" xfId="0" applyNumberFormat="1" applyFont="1" applyBorder="1" applyAlignment="1" applyProtection="1">
      <alignment horizontal="left" vertical="center" wrapText="1"/>
    </xf>
    <xf numFmtId="0" fontId="4" fillId="0" borderId="0" xfId="0" applyNumberFormat="1" applyFont="1" applyBorder="1" applyAlignment="1" applyProtection="1">
      <alignment horizontal="left" vertical="center" wrapText="1"/>
    </xf>
    <xf numFmtId="0" fontId="4" fillId="0" borderId="48" xfId="0" applyNumberFormat="1" applyFont="1" applyBorder="1" applyAlignment="1" applyProtection="1">
      <alignment horizontal="left" vertical="center" wrapText="1"/>
    </xf>
    <xf numFmtId="0" fontId="4" fillId="0" borderId="49" xfId="0" applyNumberFormat="1" applyFont="1" applyBorder="1" applyAlignment="1" applyProtection="1">
      <alignment horizontal="left" vertical="center" wrapText="1"/>
    </xf>
    <xf numFmtId="0" fontId="4" fillId="0" borderId="50" xfId="0" applyNumberFormat="1" applyFont="1" applyBorder="1" applyAlignment="1" applyProtection="1">
      <alignment horizontal="left" vertical="center" wrapText="1"/>
    </xf>
    <xf numFmtId="0" fontId="4" fillId="0" borderId="51" xfId="0" applyNumberFormat="1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49" fontId="11" fillId="0" borderId="12" xfId="0" applyNumberFormat="1" applyFont="1" applyBorder="1" applyAlignment="1" applyProtection="1">
      <alignment horizontal="left" vertical="center"/>
    </xf>
    <xf numFmtId="49" fontId="11" fillId="0" borderId="13" xfId="0" applyNumberFormat="1" applyFont="1" applyBorder="1" applyAlignment="1" applyProtection="1">
      <alignment horizontal="left" vertical="center"/>
    </xf>
    <xf numFmtId="49" fontId="11" fillId="0" borderId="14" xfId="0" applyNumberFormat="1" applyFont="1" applyBorder="1" applyAlignment="1" applyProtection="1">
      <alignment horizontal="left" vertical="center"/>
    </xf>
    <xf numFmtId="49" fontId="11" fillId="0" borderId="21" xfId="0" applyNumberFormat="1" applyFont="1" applyBorder="1" applyAlignment="1" applyProtection="1">
      <alignment horizontal="left" vertical="center"/>
    </xf>
    <xf numFmtId="49" fontId="11" fillId="0" borderId="22" xfId="0" applyNumberFormat="1" applyFont="1" applyBorder="1" applyAlignment="1" applyProtection="1">
      <alignment horizontal="left" vertical="center"/>
    </xf>
    <xf numFmtId="49" fontId="11" fillId="0" borderId="23" xfId="0" applyNumberFormat="1" applyFont="1" applyBorder="1" applyAlignment="1" applyProtection="1">
      <alignment horizontal="left" vertical="center"/>
    </xf>
    <xf numFmtId="49" fontId="4" fillId="0" borderId="27" xfId="0" applyNumberFormat="1" applyFont="1" applyBorder="1" applyAlignment="1" applyProtection="1">
      <alignment horizontal="left" vertical="center"/>
    </xf>
    <xf numFmtId="49" fontId="4" fillId="0" borderId="30" xfId="0" applyNumberFormat="1" applyFont="1" applyBorder="1" applyAlignment="1" applyProtection="1">
      <alignment horizontal="left" vertical="center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left" vertical="center" wrapText="1"/>
    </xf>
    <xf numFmtId="49" fontId="4" fillId="0" borderId="28" xfId="0" applyNumberFormat="1" applyFont="1" applyBorder="1" applyAlignment="1" applyProtection="1">
      <alignment horizontal="left" vertical="center"/>
    </xf>
    <xf numFmtId="49" fontId="4" fillId="0" borderId="29" xfId="0" applyNumberFormat="1" applyFont="1" applyBorder="1" applyAlignment="1" applyProtection="1">
      <alignment horizontal="left" vertical="center"/>
    </xf>
    <xf numFmtId="49" fontId="4" fillId="0" borderId="31" xfId="0" applyNumberFormat="1" applyFont="1" applyBorder="1" applyAlignment="1" applyProtection="1">
      <alignment horizontal="left" vertical="center"/>
    </xf>
    <xf numFmtId="49" fontId="4" fillId="0" borderId="32" xfId="0" applyNumberFormat="1" applyFont="1" applyBorder="1" applyAlignment="1" applyProtection="1">
      <alignment horizontal="left" vertical="center"/>
    </xf>
    <xf numFmtId="49" fontId="4" fillId="0" borderId="24" xfId="0" applyNumberFormat="1" applyFont="1" applyBorder="1" applyAlignment="1" applyProtection="1">
      <alignment horizontal="left" vertical="center"/>
    </xf>
    <xf numFmtId="49" fontId="4" fillId="0" borderId="25" xfId="0" applyNumberFormat="1" applyFont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left" vertical="center" wrapText="1"/>
    </xf>
    <xf numFmtId="49" fontId="4" fillId="0" borderId="25" xfId="0" applyNumberFormat="1" applyFont="1" applyBorder="1" applyAlignment="1" applyProtection="1">
      <alignment horizontal="left" vertical="center"/>
    </xf>
    <xf numFmtId="49" fontId="4" fillId="0" borderId="26" xfId="0" applyNumberFormat="1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49" fontId="0" fillId="0" borderId="0" xfId="0" applyNumberFormat="1" applyAlignment="1" applyProtection="1">
      <alignment horizontal="center"/>
    </xf>
    <xf numFmtId="1" fontId="2" fillId="0" borderId="0" xfId="0" applyNumberFormat="1" applyFont="1" applyFill="1" applyAlignment="1" applyProtection="1">
      <alignment horizontal="left" vertical="center"/>
    </xf>
    <xf numFmtId="49" fontId="4" fillId="3" borderId="21" xfId="0" applyNumberFormat="1" applyFont="1" applyFill="1" applyBorder="1" applyAlignment="1" applyProtection="1">
      <alignment horizontal="left" vertical="center" wrapText="1"/>
    </xf>
    <xf numFmtId="49" fontId="4" fillId="3" borderId="45" xfId="0" applyNumberFormat="1" applyFont="1" applyFill="1" applyBorder="1" applyAlignment="1" applyProtection="1">
      <alignment horizontal="left" vertical="center"/>
    </xf>
    <xf numFmtId="49" fontId="4" fillId="3" borderId="24" xfId="0" applyNumberFormat="1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 wrapText="1"/>
    </xf>
    <xf numFmtId="0" fontId="11" fillId="0" borderId="33" xfId="0" applyNumberFormat="1" applyFont="1" applyBorder="1" applyAlignment="1" applyProtection="1">
      <alignment horizontal="left" vertical="center"/>
    </xf>
    <xf numFmtId="0" fontId="11" fillId="0" borderId="34" xfId="0" applyNumberFormat="1" applyFont="1" applyBorder="1" applyAlignment="1" applyProtection="1">
      <alignment horizontal="left" vertical="center"/>
    </xf>
    <xf numFmtId="0" fontId="11" fillId="0" borderId="35" xfId="0" applyNumberFormat="1" applyFont="1" applyBorder="1" applyAlignment="1" applyProtection="1">
      <alignment horizontal="left" vertical="center"/>
    </xf>
    <xf numFmtId="0" fontId="11" fillId="0" borderId="36" xfId="0" applyNumberFormat="1" applyFont="1" applyBorder="1" applyAlignment="1" applyProtection="1">
      <alignment horizontal="left" vertical="center"/>
    </xf>
    <xf numFmtId="0" fontId="11" fillId="0" borderId="37" xfId="0" applyNumberFormat="1" applyFont="1" applyBorder="1" applyAlignment="1" applyProtection="1">
      <alignment horizontal="left" vertical="center"/>
    </xf>
    <xf numFmtId="0" fontId="11" fillId="0" borderId="38" xfId="0" applyNumberFormat="1" applyFont="1" applyBorder="1" applyAlignment="1" applyProtection="1">
      <alignment horizontal="left" vertical="center"/>
    </xf>
    <xf numFmtId="0" fontId="4" fillId="0" borderId="41" xfId="0" applyNumberFormat="1" applyFont="1" applyBorder="1" applyAlignment="1" applyProtection="1">
      <alignment horizontal="left" vertical="center" wrapText="1"/>
    </xf>
    <xf numFmtId="0" fontId="4" fillId="0" borderId="42" xfId="0" applyNumberFormat="1" applyFont="1" applyBorder="1" applyAlignment="1" applyProtection="1">
      <alignment horizontal="left" vertical="center"/>
    </xf>
    <xf numFmtId="0" fontId="4" fillId="0" borderId="43" xfId="0" applyNumberFormat="1" applyFont="1" applyBorder="1" applyAlignment="1" applyProtection="1">
      <alignment horizontal="left" vertical="center"/>
    </xf>
    <xf numFmtId="0" fontId="4" fillId="0" borderId="44" xfId="0" applyNumberFormat="1" applyFont="1" applyBorder="1" applyAlignment="1" applyProtection="1">
      <alignment horizontal="left" vertical="center"/>
    </xf>
    <xf numFmtId="0" fontId="4" fillId="0" borderId="37" xfId="0" applyNumberFormat="1" applyFont="1" applyBorder="1" applyAlignment="1" applyProtection="1">
      <alignment horizontal="left" vertical="center"/>
    </xf>
    <xf numFmtId="0" fontId="4" fillId="0" borderId="38" xfId="0" applyNumberFormat="1" applyFont="1" applyBorder="1" applyAlignment="1" applyProtection="1">
      <alignment horizontal="left" vertical="center"/>
    </xf>
    <xf numFmtId="0" fontId="4" fillId="0" borderId="46" xfId="0" applyNumberFormat="1" applyFont="1" applyBorder="1" applyAlignment="1" applyProtection="1">
      <alignment horizontal="left" vertical="center" wrapText="1"/>
    </xf>
    <xf numFmtId="0" fontId="4" fillId="0" borderId="49" xfId="0" applyNumberFormat="1" applyFont="1" applyBorder="1" applyAlignment="1" applyProtection="1">
      <alignment horizontal="left" vertical="center"/>
    </xf>
    <xf numFmtId="0" fontId="4" fillId="0" borderId="50" xfId="0" applyNumberFormat="1" applyFont="1" applyBorder="1" applyAlignment="1" applyProtection="1">
      <alignment horizontal="left" vertical="center"/>
    </xf>
    <xf numFmtId="0" fontId="4" fillId="0" borderId="51" xfId="0" applyNumberFormat="1" applyFont="1" applyBorder="1" applyAlignment="1" applyProtection="1">
      <alignment horizontal="left" vertical="center"/>
    </xf>
    <xf numFmtId="0" fontId="4" fillId="0" borderId="0" xfId="0" applyNumberFormat="1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1" fontId="4" fillId="5" borderId="6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left" vertical="center"/>
    </xf>
    <xf numFmtId="49" fontId="4" fillId="2" borderId="10" xfId="0" applyNumberFormat="1" applyFont="1" applyFill="1" applyBorder="1" applyAlignment="1" applyProtection="1">
      <alignment horizontal="left" vertical="center"/>
    </xf>
    <xf numFmtId="49" fontId="4" fillId="2" borderId="11" xfId="0" applyNumberFormat="1" applyFont="1" applyFill="1" applyBorder="1" applyAlignment="1" applyProtection="1">
      <alignment horizontal="left" vertical="center"/>
    </xf>
    <xf numFmtId="1" fontId="4" fillId="2" borderId="7" xfId="0" applyNumberFormat="1" applyFont="1" applyFill="1" applyBorder="1" applyAlignment="1" applyProtection="1">
      <alignment horizontal="center" vertical="center"/>
    </xf>
    <xf numFmtId="1" fontId="4" fillId="2" borderId="8" xfId="0" applyNumberFormat="1" applyFont="1" applyFill="1" applyBorder="1" applyAlignment="1" applyProtection="1">
      <alignment horizontal="center" vertical="center"/>
    </xf>
    <xf numFmtId="1" fontId="4" fillId="2" borderId="9" xfId="0" applyNumberFormat="1" applyFont="1" applyFill="1" applyBorder="1" applyAlignment="1" applyProtection="1">
      <alignment horizontal="center" vertical="center"/>
    </xf>
    <xf numFmtId="49" fontId="13" fillId="0" borderId="4" xfId="0" applyNumberFormat="1" applyFont="1" applyBorder="1" applyAlignment="1" applyProtection="1">
      <alignment horizontal="center" vertical="center"/>
    </xf>
    <xf numFmtId="49" fontId="13" fillId="0" borderId="82" xfId="0" applyNumberFormat="1" applyFont="1" applyBorder="1" applyAlignment="1" applyProtection="1">
      <alignment horizontal="center" vertical="center"/>
    </xf>
    <xf numFmtId="49" fontId="13" fillId="0" borderId="6" xfId="0" applyNumberFormat="1" applyFont="1" applyBorder="1" applyAlignment="1" applyProtection="1">
      <alignment horizontal="center" vertical="center"/>
    </xf>
    <xf numFmtId="49" fontId="0" fillId="0" borderId="57" xfId="0" applyNumberFormat="1" applyBorder="1" applyAlignment="1" applyProtection="1">
      <alignment horizontal="center"/>
    </xf>
    <xf numFmtId="1" fontId="4" fillId="0" borderId="4" xfId="0" applyNumberFormat="1" applyFont="1" applyFill="1" applyBorder="1" applyAlignment="1" applyProtection="1">
      <alignment horizontal="center"/>
    </xf>
    <xf numFmtId="1" fontId="4" fillId="0" borderId="63" xfId="0" applyNumberFormat="1" applyFont="1" applyFill="1" applyBorder="1" applyAlignment="1" applyProtection="1">
      <alignment horizontal="center"/>
    </xf>
    <xf numFmtId="49" fontId="0" fillId="0" borderId="76" xfId="0" applyNumberFormat="1" applyBorder="1" applyAlignment="1" applyProtection="1">
      <alignment horizontal="center"/>
    </xf>
    <xf numFmtId="49" fontId="13" fillId="0" borderId="80" xfId="0" applyNumberFormat="1" applyFont="1" applyBorder="1" applyAlignment="1" applyProtection="1">
      <alignment horizontal="center"/>
    </xf>
    <xf numFmtId="49" fontId="13" fillId="0" borderId="4" xfId="0" applyNumberFormat="1" applyFont="1" applyBorder="1" applyAlignment="1" applyProtection="1">
      <alignment horizontal="center"/>
    </xf>
    <xf numFmtId="49" fontId="13" fillId="0" borderId="82" xfId="0" applyNumberFormat="1" applyFont="1" applyBorder="1" applyAlignment="1" applyProtection="1">
      <alignment horizontal="center"/>
    </xf>
    <xf numFmtId="49" fontId="13" fillId="0" borderId="6" xfId="0" applyNumberFormat="1" applyFont="1" applyBorder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49" fontId="32" fillId="0" borderId="0" xfId="0" applyNumberFormat="1" applyFont="1" applyAlignment="1" applyProtection="1">
      <alignment horizontal="left" vertical="top" wrapText="1"/>
    </xf>
    <xf numFmtId="49" fontId="0" fillId="0" borderId="85" xfId="0" applyNumberFormat="1" applyBorder="1" applyAlignment="1" applyProtection="1">
      <alignment horizontal="center"/>
    </xf>
    <xf numFmtId="49" fontId="4" fillId="2" borderId="10" xfId="0" applyNumberFormat="1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3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theme="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theme="4"/>
          <bgColor theme="4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theme="4"/>
          <bgColor theme="4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64" formatCode="0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0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64" formatCode="0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0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color rgb="FFFF0000"/>
      </font>
    </dxf>
    <dxf>
      <font>
        <color theme="0"/>
      </font>
    </dxf>
    <dxf>
      <font>
        <color theme="9" tint="-0.24994659260841701"/>
      </font>
    </dxf>
    <dxf>
      <fill>
        <patternFill>
          <bgColor theme="9" tint="0.39994506668294322"/>
        </patternFill>
      </fill>
    </dxf>
    <dxf>
      <font>
        <color theme="9" tint="-0.24994659260841701"/>
      </font>
    </dxf>
    <dxf>
      <fill>
        <patternFill>
          <bgColor theme="9" tint="0.39994506668294322"/>
        </patternFill>
      </fill>
    </dxf>
    <dxf>
      <font>
        <color theme="9" tint="-0.24994659260841701"/>
      </font>
    </dxf>
    <dxf>
      <fill>
        <patternFill>
          <bgColor theme="9" tint="0.39994506668294322"/>
        </patternFill>
      </fill>
    </dxf>
    <dxf>
      <font>
        <color theme="9" tint="-0.24994659260841701"/>
      </font>
    </dxf>
    <dxf>
      <fill>
        <patternFill>
          <bgColor theme="9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b/>
        <i val="0"/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4" tint="-0.24994659260841701"/>
      </font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6" tint="-0.24994659260841701"/>
      </font>
    </dxf>
    <dxf>
      <font>
        <color rgb="FFCC3300"/>
      </font>
    </dxf>
    <dxf>
      <font>
        <color rgb="FFFFC000"/>
      </font>
    </dxf>
    <dxf>
      <font>
        <color theme="3" tint="0.39994506668294322"/>
      </font>
    </dxf>
    <dxf>
      <font>
        <color rgb="FF0099CC"/>
      </font>
    </dxf>
    <dxf>
      <font>
        <color rgb="FF008000"/>
      </font>
    </dxf>
    <dxf>
      <font>
        <color rgb="FFFF9966"/>
      </font>
    </dxf>
    <dxf>
      <font>
        <color rgb="FFCC3300"/>
      </font>
    </dxf>
    <dxf>
      <font>
        <color theme="6" tint="-0.24994659260841701"/>
      </font>
    </dxf>
    <dxf>
      <font>
        <color rgb="FFFFC000"/>
      </font>
    </dxf>
    <dxf>
      <font>
        <color theme="3" tint="0.39994506668294322"/>
      </font>
    </dxf>
    <dxf>
      <font>
        <color rgb="FF0099CC"/>
      </font>
    </dxf>
    <dxf>
      <font>
        <color rgb="FF008000"/>
      </font>
    </dxf>
    <dxf>
      <font>
        <color rgb="FFFF9966"/>
      </font>
    </dxf>
    <dxf>
      <font>
        <color rgb="FFCC3300"/>
      </font>
    </dxf>
    <dxf>
      <font>
        <color theme="6" tint="-0.24994659260841701"/>
      </font>
    </dxf>
    <dxf>
      <font>
        <color rgb="FFFFC000"/>
      </font>
    </dxf>
    <dxf>
      <font>
        <color theme="3" tint="0.39994506668294322"/>
      </font>
    </dxf>
    <dxf>
      <font>
        <color rgb="FF0099CC"/>
      </font>
    </dxf>
    <dxf>
      <font>
        <color rgb="FF008000"/>
      </font>
    </dxf>
    <dxf>
      <font>
        <color rgb="FFFF9966"/>
      </font>
    </dxf>
    <dxf>
      <font>
        <color rgb="FFCC3300"/>
      </font>
    </dxf>
    <dxf>
      <font>
        <color theme="6" tint="-0.24994659260841701"/>
      </font>
    </dxf>
    <dxf>
      <font>
        <color rgb="FFFFC000"/>
      </font>
    </dxf>
    <dxf>
      <font>
        <color theme="3" tint="0.39994506668294322"/>
      </font>
    </dxf>
    <dxf>
      <font>
        <color rgb="FF0099CC"/>
      </font>
    </dxf>
    <dxf>
      <font>
        <color rgb="FF008000"/>
      </font>
    </dxf>
    <dxf>
      <font>
        <color rgb="FFFF9966"/>
      </font>
    </dxf>
    <dxf>
      <fill>
        <patternFill>
          <bgColor theme="6" tint="0.59996337778862885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ill>
        <patternFill>
          <bgColor theme="8" tint="0.59996337778862885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>
          <bgColor theme="8" tint="0.59996337778862885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>
          <bgColor theme="8" tint="0.59996337778862885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>
          <bgColor rgb="FFFFFF99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solid">
          <fgColor theme="4" tint="0.79998168889431442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TableStyleMedium2" defaultPivotStyle="PivotStyleLight16">
    <tableStyle name="Bernd" pivot="0" count="8" xr9:uid="{00000000-0011-0000-FFFF-FFFF00000000}">
      <tableStyleElement type="wholeTable" dxfId="341"/>
      <tableStyleElement type="headerRow" dxfId="340"/>
      <tableStyleElement type="totalRow" dxfId="339"/>
      <tableStyleElement type="firstColumn" dxfId="338"/>
      <tableStyleElement type="lastColumn" dxfId="337"/>
      <tableStyleElement type="firstRowStripe" dxfId="336"/>
      <tableStyleElement type="secondRowStripe" dxfId="335"/>
      <tableStyleElement type="firstColumnStripe" dxfId="334"/>
    </tableStyle>
    <tableStyle name="Bernd2" pivot="0" count="9" xr9:uid="{00000000-0011-0000-FFFF-FFFF01000000}">
      <tableStyleElement type="wholeTable" dxfId="333"/>
      <tableStyleElement type="headerRow" dxfId="332"/>
      <tableStyleElement type="totalRow" dxfId="331"/>
      <tableStyleElement type="firstColumn" dxfId="330"/>
      <tableStyleElement type="lastColumn" dxfId="329"/>
      <tableStyleElement type="firstRowStripe" dxfId="328"/>
      <tableStyleElement type="secondRowStripe" dxfId="327"/>
      <tableStyleElement type="firstColumnStripe" dxfId="326"/>
      <tableStyleElement type="secondColumnStripe" dxfId="325"/>
    </tableStyle>
  </tableStyles>
  <colors>
    <mruColors>
      <color rgb="FFFFCCCC"/>
      <color rgb="FFFFC7CE"/>
      <color rgb="FFFF9966"/>
      <color rgb="FF008000"/>
      <color rgb="FF0099CC"/>
      <color rgb="FFCC3300"/>
      <color rgb="FF2560A7"/>
      <color rgb="FFFFFF99"/>
      <color rgb="FFFFFF66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6EFB0A61-63C5-4C3E-A4B3-E96393FD3A75}" name="Punkteschnitt_390_tab" displayName="Punkteschnitt_390_tab" ref="B2:C393" totalsRowShown="0" headerRowDxfId="210" dataDxfId="209">
  <autoFilter ref="B2:C393" xr:uid="{00000000-0009-0000-0100-000003000000}"/>
  <tableColumns count="2">
    <tableColumn id="1" xr3:uid="{A91C3A37-0725-42A4-889B-B607B17C72D7}" name="Punkte" dataDxfId="208"/>
    <tableColumn id="2" xr3:uid="{72EAFE9C-FEF9-48EA-BC0D-ADB183C86EDC}" name="Schnitt" dataDxfId="207">
      <calculatedColumnFormula>IF((17/3)-(5*Punkteschnitt_390_tab[[#This Row],[Punkte]]/$B$3)&lt;1,1,TRUNC((17/3)-(5*Punkteschnitt_390_tab[[#This Row],[Punkte]]/$B$3),1))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04000000}" name="MoeglichkeitenFS_tab" displayName="MoeglichkeitenFS_tab" ref="B39:B45" totalsRowShown="0" headerRowDxfId="165" dataDxfId="164">
  <autoFilter ref="B39:B45" xr:uid="{00000000-0009-0000-0100-000026000000}"/>
  <sortState xmlns:xlrd2="http://schemas.microsoft.com/office/spreadsheetml/2017/richdata2" ref="B39:B44">
    <sortCondition sortBy="fontColor" ref="B3" dxfId="163"/>
  </sortState>
  <tableColumns count="1">
    <tableColumn id="1" xr3:uid="{00000000-0010-0000-0400-000001000000}" name="Möglichkeiten 2.Fremdsprache" dataDxfId="16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05000000}" name="Abschluss_tab" displayName="Abschluss_tab" ref="B48:B51" totalsRowShown="0" dataDxfId="161">
  <autoFilter ref="B48:B51" xr:uid="{00000000-0009-0000-0100-000027000000}"/>
  <sortState xmlns:xlrd2="http://schemas.microsoft.com/office/spreadsheetml/2017/richdata2" ref="B48:B50">
    <sortCondition sortBy="fontColor" ref="B3" dxfId="160"/>
  </sortState>
  <tableColumns count="1">
    <tableColumn id="1" xr3:uid="{00000000-0010-0000-0500-000001000000}" name="Abschluss" dataDxfId="15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MoeglichkeitenFS_IW_tab" displayName="MoeglichkeitenFS_IW_tab" ref="B54:B61" totalsRowShown="0" headerRowDxfId="158" dataDxfId="157">
  <autoFilter ref="B54:B61" xr:uid="{00000000-0009-0000-0100-000005000000}"/>
  <sortState xmlns:xlrd2="http://schemas.microsoft.com/office/spreadsheetml/2017/richdata2" ref="B54:B59">
    <sortCondition sortBy="fontColor" ref="B3" dxfId="156"/>
  </sortState>
  <tableColumns count="1">
    <tableColumn id="1" xr3:uid="{00000000-0010-0000-0600-000001000000}" name="Möglichkeiten 2.Fremdsprache IW" dataDxfId="15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DB2B71A5-678D-4016-8CD9-FFBCA2AC03A4}" name="Schule_tab" displayName="Schule_tab" ref="B64:B67" totalsRowShown="0" dataDxfId="154">
  <autoFilter ref="B64:B67" xr:uid="{DB2B71A5-678D-4016-8CD9-FFBCA2AC03A4}"/>
  <sortState xmlns:xlrd2="http://schemas.microsoft.com/office/spreadsheetml/2017/richdata2" ref="B65:B67">
    <sortCondition sortBy="fontColor" ref="B3" dxfId="153"/>
  </sortState>
  <tableColumns count="1">
    <tableColumn id="1" xr3:uid="{811C29CF-D427-4796-B68D-7DB80E49A381}" name="Schule" dataDxfId="152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Technik_WPF1" displayName="Technik_WPF1" ref="D16:D34" totalsRowShown="0" headerRowDxfId="151" dataDxfId="150" tableBorderDxfId="149">
  <autoFilter ref="D16:D34" xr:uid="{00000000-0009-0000-0100-000006000000}"/>
  <sortState xmlns:xlrd2="http://schemas.microsoft.com/office/spreadsheetml/2017/richdata2" ref="D17:D34">
    <sortCondition sortBy="fontColor" ref="D17:D34" dxfId="148"/>
    <sortCondition ref="D17:D34"/>
  </sortState>
  <tableColumns count="1">
    <tableColumn id="1" xr3:uid="{00000000-0010-0000-0700-000001000000}" name="Technik_WPF1" dataDxfId="147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ABU_WPF1" displayName="ABU_WPF1" ref="D37:D55" totalsRowShown="0" headerRowDxfId="146" dataDxfId="145" tableBorderDxfId="144">
  <autoFilter ref="D37:D55" xr:uid="{00000000-0009-0000-0100-000007000000}"/>
  <sortState xmlns:xlrd2="http://schemas.microsoft.com/office/spreadsheetml/2017/richdata2" ref="D38:D55">
    <sortCondition sortBy="fontColor" ref="D38:D55" dxfId="143"/>
    <sortCondition ref="D38:D55"/>
  </sortState>
  <tableColumns count="1">
    <tableColumn id="1" xr3:uid="{00000000-0010-0000-0800-000001000000}" name="ABU_WPF1" dataDxfId="142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9000000}" name="Wirtschaft_WPF1" displayName="Wirtschaft_WPF1" ref="D60:D81" totalsRowShown="0" headerRowDxfId="141" dataDxfId="140" tableBorderDxfId="139">
  <autoFilter ref="D60:D81" xr:uid="{00000000-0009-0000-0100-000008000000}"/>
  <sortState xmlns:xlrd2="http://schemas.microsoft.com/office/spreadsheetml/2017/richdata2" ref="D61:D81">
    <sortCondition sortBy="fontColor" ref="D61:D81" dxfId="138"/>
    <sortCondition ref="D61:D81"/>
  </sortState>
  <tableColumns count="1">
    <tableColumn id="1" xr3:uid="{00000000-0010-0000-0900-000001000000}" name="Wirtschaft_WPF1" dataDxfId="137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A000000}" name="Internation_WPF1" displayName="Internation_WPF1" ref="D83:D102" totalsRowShown="0" headerRowDxfId="136" dataDxfId="135" tableBorderDxfId="134">
  <autoFilter ref="D83:D102" xr:uid="{00000000-0009-0000-0100-000009000000}"/>
  <sortState xmlns:xlrd2="http://schemas.microsoft.com/office/spreadsheetml/2017/richdata2" ref="D84:D102">
    <sortCondition sortBy="fontColor" ref="D84:D102" dxfId="133"/>
    <sortCondition ref="D84:D102"/>
  </sortState>
  <tableColumns count="1">
    <tableColumn id="1" xr3:uid="{00000000-0010-0000-0A00-000001000000}" name="Internation_WPF1" dataDxfId="132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B000000}" name="Sozialwesen_WPF1" displayName="Sozialwesen_WPF1" ref="D106:D124" totalsRowShown="0" headerRowDxfId="131" dataDxfId="130" tableBorderDxfId="129">
  <autoFilter ref="D106:D124" xr:uid="{00000000-0009-0000-0100-00000A000000}"/>
  <sortState xmlns:xlrd2="http://schemas.microsoft.com/office/spreadsheetml/2017/richdata2" ref="D107:D123">
    <sortCondition sortBy="fontColor" ref="D107:D123" dxfId="128"/>
    <sortCondition ref="D107:D123"/>
  </sortState>
  <tableColumns count="1">
    <tableColumn id="1" xr3:uid="{00000000-0010-0000-0B00-000001000000}" name="Sozialwesen_WPF1" dataDxfId="127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C000000}" name="Gesundheit_WPF1" displayName="Gesundheit_WPF1" ref="D130:D151" totalsRowShown="0" headerRowDxfId="126" dataDxfId="125" tableBorderDxfId="124">
  <autoFilter ref="D130:D151" xr:uid="{00000000-0009-0000-0100-00000B000000}"/>
  <sortState xmlns:xlrd2="http://schemas.microsoft.com/office/spreadsheetml/2017/richdata2" ref="D130:D150">
    <sortCondition sortBy="fontColor" ref="D130:D150" dxfId="123"/>
    <sortCondition ref="D130:D150"/>
  </sortState>
  <tableColumns count="1">
    <tableColumn id="1" xr3:uid="{00000000-0010-0000-0C00-000001000000}" name="Gesundheit_WPF1" dataDxfId="1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C1EE721-F82F-4DF0-9C68-3C42B605BD85}" name="Schnitt_von_bis_390_tab" displayName="Schnitt_von_bis_390_tab" ref="E2:G49" totalsRowShown="0" headerRowDxfId="206" dataDxfId="205">
  <autoFilter ref="E2:G49" xr:uid="{00000000-0009-0000-0100-000004000000}"/>
  <tableColumns count="3">
    <tableColumn id="1" xr3:uid="{99E2C908-2D86-4F7D-BD3E-65E8F1565406}" name="Schnitt" dataDxfId="204">
      <calculatedColumnFormula>SMALL(Punkteschnitt_390_tab[Schnitt],12)</calculatedColumnFormula>
    </tableColumn>
    <tableColumn id="2" xr3:uid="{11F67EDC-1E7A-45B8-84EF-683785900D6C}" name="Punkte maximal" dataDxfId="203">
      <calculatedColumnFormula>INDEX(Punkteschnitt_390_tab[],MATCH(Schnitt_von_bis_390_tab[[#This Row],[Schnitt]],Punkteschnitt_390_tab[Schnitt],0),1)</calculatedColumnFormula>
    </tableColumn>
    <tableColumn id="3" xr3:uid="{93DEBB65-E27D-4B4B-94D0-450547030575}" name="Punkte minimal" dataDxfId="202">
      <calculatedColumnFormula>IF(F4&gt;0,F4+1,0)</calculatedColumnFormula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D000000}" name="Gestaltung_WPF1" displayName="Gestaltung_WPF1" ref="D153:D174" totalsRowShown="0" headerRowDxfId="121" dataDxfId="120" tableBorderDxfId="119">
  <autoFilter ref="D153:D174" xr:uid="{00000000-0009-0000-0100-00000C000000}"/>
  <sortState xmlns:xlrd2="http://schemas.microsoft.com/office/spreadsheetml/2017/richdata2" ref="D153:D173">
    <sortCondition sortBy="fontColor" ref="D153:D173" dxfId="118"/>
    <sortCondition ref="D153:D173"/>
  </sortState>
  <tableColumns count="1">
    <tableColumn id="1" xr3:uid="{00000000-0010-0000-0D00-000001000000}" name="Gestaltung_WPF1" dataDxfId="117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E000000}" name="Technik_WPF2" displayName="Technik_WPF2" ref="D179:D197" totalsRowShown="0" headerRowDxfId="116" dataDxfId="115" tableBorderDxfId="114">
  <autoFilter ref="D179:D197" xr:uid="{00000000-0009-0000-0100-00000D000000}"/>
  <sortState xmlns:xlrd2="http://schemas.microsoft.com/office/spreadsheetml/2017/richdata2" ref="D179:D196">
    <sortCondition sortBy="fontColor" ref="D179:D196" dxfId="113"/>
    <sortCondition ref="D179:D196"/>
  </sortState>
  <tableColumns count="1">
    <tableColumn id="1" xr3:uid="{00000000-0010-0000-0E00-000001000000}" name="Technik_WPF2" dataDxfId="112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F000000}" name="ABU_WPF2" displayName="ABU_WPF2" ref="D202:D220" totalsRowShown="0" headerRowDxfId="111" dataDxfId="110" tableBorderDxfId="109">
  <autoFilter ref="D202:D220" xr:uid="{00000000-0009-0000-0100-00000E000000}"/>
  <sortState xmlns:xlrd2="http://schemas.microsoft.com/office/spreadsheetml/2017/richdata2" ref="D202:D219">
    <sortCondition sortBy="fontColor" ref="D202:D219" dxfId="108"/>
    <sortCondition ref="D202:D219"/>
  </sortState>
  <tableColumns count="1">
    <tableColumn id="1" xr3:uid="{00000000-0010-0000-0F00-000001000000}" name="ABU_WPF2" dataDxfId="107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10000000}" name="Wirtschaft_WPF2" displayName="Wirtschaft_WPF2" ref="D225:D245" totalsRowShown="0" headerRowDxfId="106" dataDxfId="105" tableBorderDxfId="104">
  <autoFilter ref="D225:D245" xr:uid="{00000000-0009-0000-0100-00000F000000}"/>
  <sortState xmlns:xlrd2="http://schemas.microsoft.com/office/spreadsheetml/2017/richdata2" ref="D225:D244">
    <sortCondition sortBy="fontColor" ref="D225:D244" dxfId="103"/>
    <sortCondition ref="D225:D244"/>
  </sortState>
  <tableColumns count="1">
    <tableColumn id="1" xr3:uid="{00000000-0010-0000-1000-000001000000}" name="Wirtschaft_WPF2" dataDxfId="102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11000000}" name="Internation_WPF2" displayName="Internation_WPF2" ref="D248:D267" totalsRowShown="0" headerRowDxfId="101" dataDxfId="100" tableBorderDxfId="99">
  <autoFilter ref="D248:D267" xr:uid="{00000000-0009-0000-0100-000010000000}"/>
  <sortState xmlns:xlrd2="http://schemas.microsoft.com/office/spreadsheetml/2017/richdata2" ref="D248:D266">
    <sortCondition sortBy="fontColor" ref="D248:D266" dxfId="98"/>
    <sortCondition ref="D248:D266"/>
  </sortState>
  <tableColumns count="1">
    <tableColumn id="1" xr3:uid="{00000000-0010-0000-1100-000001000000}" name="Internation_WPF2" dataDxfId="97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2000000}" name="Sozialwesen_WPF2" displayName="Sozialwesen_WPF2" ref="D271:D289" totalsRowShown="0" headerRowDxfId="96" dataDxfId="95" tableBorderDxfId="94">
  <autoFilter ref="D271:D289" xr:uid="{00000000-0009-0000-0100-000011000000}"/>
  <sortState xmlns:xlrd2="http://schemas.microsoft.com/office/spreadsheetml/2017/richdata2" ref="D271:D287">
    <sortCondition sortBy="fontColor" ref="D271:D287" dxfId="93"/>
    <sortCondition ref="D271:D287"/>
  </sortState>
  <tableColumns count="1">
    <tableColumn id="1" xr3:uid="{00000000-0010-0000-1200-000001000000}" name="Sozialwesen_WPF2" dataDxfId="92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3000000}" name="Gesundheit_WPF2" displayName="Gesundheit_WPF2" ref="D295:D316" totalsRowShown="0" headerRowDxfId="91" dataDxfId="90" tableBorderDxfId="89">
  <autoFilter ref="D295:D316" xr:uid="{00000000-0009-0000-0100-000012000000}"/>
  <sortState xmlns:xlrd2="http://schemas.microsoft.com/office/spreadsheetml/2017/richdata2" ref="D294:D314">
    <sortCondition sortBy="fontColor" ref="D294:D314" dxfId="88"/>
    <sortCondition ref="D294:D314"/>
  </sortState>
  <tableColumns count="1">
    <tableColumn id="1" xr3:uid="{00000000-0010-0000-1300-000001000000}" name="Gesundheit_WPF2" dataDxfId="87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4000000}" name="Gestaltung_WPF2" displayName="Gestaltung_WPF2" ref="D320:D341" totalsRowShown="0" headerRowDxfId="86" dataDxfId="85" tableBorderDxfId="84">
  <autoFilter ref="D320:D341" xr:uid="{00000000-0009-0000-0100-000013000000}"/>
  <sortState xmlns:xlrd2="http://schemas.microsoft.com/office/spreadsheetml/2017/richdata2" ref="D319:D339">
    <sortCondition sortBy="fontColor" ref="D319:D339" dxfId="83"/>
    <sortCondition ref="D319:D339"/>
  </sortState>
  <tableColumns count="1">
    <tableColumn id="1" xr3:uid="{00000000-0010-0000-1400-000001000000}" name="Gestaltung_WPF2" dataDxfId="82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5000000}" name="_WPF1" displayName="_WPF1" ref="D13:D14" totalsRowShown="0" dataDxfId="81" tableBorderDxfId="80">
  <autoFilter ref="D13:D14" xr:uid="{00000000-0009-0000-0100-000014000000}"/>
  <tableColumns count="1">
    <tableColumn id="1" xr3:uid="{00000000-0010-0000-1500-000001000000}" name="_WPF1" dataDxfId="79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6000000}" name="_WPF2" displayName="_WPF2" ref="D176:D177" totalsRowShown="0" dataDxfId="78" tableBorderDxfId="77">
  <autoFilter ref="D176:D177" xr:uid="{00000000-0009-0000-0100-000015000000}"/>
  <tableColumns count="1">
    <tableColumn id="1" xr3:uid="{00000000-0010-0000-1600-000001000000}" name="_WPF2" dataDxfId="7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DFC2C8AC-FEF0-4E08-888E-01DD97F6258D}" name="Punkteschnitt_420_tab" displayName="Punkteschnitt_420_tab" ref="B2:C423" totalsRowShown="0" headerRowDxfId="201" dataDxfId="200">
  <autoFilter ref="B2:C423" xr:uid="{00000000-0009-0000-0100-000005000000}"/>
  <tableColumns count="2">
    <tableColumn id="1" xr3:uid="{41A16B77-D1EE-44BD-97C9-CBD4E6788210}" name="Punkte" dataDxfId="199"/>
    <tableColumn id="2" xr3:uid="{70A952C6-0B00-4B51-B2C2-1B096F6B844A}" name="Schnitt" dataDxfId="198">
      <calculatedColumnFormula>IF((17/3)-(5*Punkteschnitt_420_tab[[#This Row],[Punkte]]/$B$3)&lt;1,1,TRUNC((17/3)-(5*Punkteschnitt_420_tab[[#This Row],[Punkte]]/$B$3),1))</calculatedColumnFormula>
    </tableColumn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7000000}" name="Technik_WPF1_TS" displayName="Technik_WPF1_TS" ref="F16:F22" totalsRowShown="0" headerRowDxfId="75" dataDxfId="74" tableBorderDxfId="73">
  <autoFilter ref="F16:F22" xr:uid="{00000000-0009-0000-0100-000016000000}"/>
  <sortState xmlns:xlrd2="http://schemas.microsoft.com/office/spreadsheetml/2017/richdata2" ref="F17:F24">
    <sortCondition sortBy="fontColor" ref="F17:F24" dxfId="72"/>
    <sortCondition ref="F17:F24"/>
  </sortState>
  <tableColumns count="1">
    <tableColumn id="1" xr3:uid="{00000000-0010-0000-1700-000001000000}" name="Technik_WPF1_TS" dataDxfId="71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8000000}" name="ABU_WPF1_TS" displayName="ABU_WPF1_TS" ref="F35:F43" totalsRowShown="0" headerRowDxfId="70" dataDxfId="69" tableBorderDxfId="68">
  <autoFilter ref="F35:F43" xr:uid="{00000000-0009-0000-0100-000017000000}"/>
  <sortState xmlns:xlrd2="http://schemas.microsoft.com/office/spreadsheetml/2017/richdata2" ref="F38:F45">
    <sortCondition sortBy="fontColor" ref="F38:F45" dxfId="67"/>
    <sortCondition ref="F38:F45"/>
  </sortState>
  <tableColumns count="1">
    <tableColumn id="1" xr3:uid="{00000000-0010-0000-1800-000001000000}" name="ABU_WPF1_TS" dataDxfId="66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9000000}" name="Wirtschaft_WPF1_TS" displayName="Wirtschaft_WPF1_TS" ref="F58:F64" totalsRowShown="0" headerRowDxfId="65" dataDxfId="64" tableBorderDxfId="63">
  <autoFilter ref="F58:F64" xr:uid="{00000000-0009-0000-0100-000018000000}"/>
  <sortState xmlns:xlrd2="http://schemas.microsoft.com/office/spreadsheetml/2017/richdata2" ref="F61:F67">
    <sortCondition sortBy="fontColor" ref="F61:F67" dxfId="62"/>
    <sortCondition ref="F61:F67"/>
  </sortState>
  <tableColumns count="1">
    <tableColumn id="1" xr3:uid="{00000000-0010-0000-1900-000001000000}" name="Wirtschaft_WPF1_TS" dataDxfId="61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A000000}" name="Internation_WPF1_TS" displayName="Internation_WPF1_TS" ref="F80:F88" totalsRowShown="0" headerRowDxfId="60" dataDxfId="59" tableBorderDxfId="58">
  <autoFilter ref="F80:F88" xr:uid="{00000000-0009-0000-0100-000019000000}"/>
  <sortState xmlns:xlrd2="http://schemas.microsoft.com/office/spreadsheetml/2017/richdata2" ref="F84:F91">
    <sortCondition sortBy="fontColor" ref="F84:F91" dxfId="57"/>
    <sortCondition ref="F84:F91"/>
  </sortState>
  <tableColumns count="1">
    <tableColumn id="1" xr3:uid="{00000000-0010-0000-1A00-000001000000}" name="Internation_WPF1_TS" dataDxfId="56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B000000}" name="Sozialwesen_WPF1_TS" displayName="Sozialwesen_WPF1_TS" ref="F103:F109" totalsRowShown="0" headerRowDxfId="55" dataDxfId="54" tableBorderDxfId="53">
  <autoFilter ref="F103:F109" xr:uid="{00000000-0009-0000-0100-00001A000000}"/>
  <sortState xmlns:xlrd2="http://schemas.microsoft.com/office/spreadsheetml/2017/richdata2" ref="F107:F112">
    <sortCondition sortBy="fontColor" ref="F107:F112" dxfId="52"/>
    <sortCondition ref="F107:F112"/>
  </sortState>
  <tableColumns count="1">
    <tableColumn id="1" xr3:uid="{00000000-0010-0000-1B00-000001000000}" name="Sozialwesen_WPF1_TS" dataDxfId="51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C000000}" name="Gesundheit_WPF1_TS" displayName="Gesundheit_WPF1_TS" ref="F126:F132" totalsRowShown="0" headerRowDxfId="50" dataDxfId="49" tableBorderDxfId="48">
  <autoFilter ref="F126:F132" xr:uid="{00000000-0009-0000-0100-00001B000000}"/>
  <sortState xmlns:xlrd2="http://schemas.microsoft.com/office/spreadsheetml/2017/richdata2" ref="F130:F138">
    <sortCondition sortBy="fontColor" ref="F130:F138" dxfId="47"/>
    <sortCondition ref="F130:F138"/>
  </sortState>
  <tableColumns count="1">
    <tableColumn id="1" xr3:uid="{00000000-0010-0000-1C00-000001000000}" name="Gesundheit_WPF1_TS" dataDxfId="46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D000000}" name="Gestaltung_WPF1_TS" displayName="Gestaltung_WPF1_TS" ref="F146:F154" totalsRowShown="0" headerRowDxfId="45" dataDxfId="44" tableBorderDxfId="43">
  <autoFilter ref="F146:F154" xr:uid="{00000000-0009-0000-0100-00001C000000}"/>
  <sortState xmlns:xlrd2="http://schemas.microsoft.com/office/spreadsheetml/2017/richdata2" ref="F153:F160">
    <sortCondition sortBy="fontColor" ref="F153:F160" dxfId="42"/>
    <sortCondition ref="F153:F160"/>
  </sortState>
  <tableColumns count="1">
    <tableColumn id="1" xr3:uid="{00000000-0010-0000-1D00-000001000000}" name="Gestaltung_WPF1_TS" dataDxfId="41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E000000}" name="Technik_WPF2_TS" displayName="Technik_WPF2_TS" ref="F172:F178" totalsRowShown="0" headerRowDxfId="40" dataDxfId="39" tableBorderDxfId="38">
  <autoFilter ref="F172:F178" xr:uid="{00000000-0009-0000-0100-00001D000000}"/>
  <sortState xmlns:xlrd2="http://schemas.microsoft.com/office/spreadsheetml/2017/richdata2" ref="F179:F186">
    <sortCondition sortBy="fontColor" ref="F179:F186" dxfId="37"/>
    <sortCondition ref="F179:F186"/>
  </sortState>
  <tableColumns count="1">
    <tableColumn id="1" xr3:uid="{00000000-0010-0000-1E00-000001000000}" name="Technik_WPF2_TS" dataDxfId="36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F000000}" name="ABU_WPF2_TS" displayName="ABU_WPF2_TS" ref="F193:F201" totalsRowShown="0" headerRowDxfId="35" dataDxfId="34" tableBorderDxfId="33">
  <autoFilter ref="F193:F201" xr:uid="{00000000-0009-0000-0100-00001E000000}"/>
  <sortState xmlns:xlrd2="http://schemas.microsoft.com/office/spreadsheetml/2017/richdata2" ref="F202:F209">
    <sortCondition sortBy="fontColor" ref="F202:F209" dxfId="32"/>
    <sortCondition ref="F202:F209"/>
  </sortState>
  <tableColumns count="1">
    <tableColumn id="1" xr3:uid="{00000000-0010-0000-1F00-000001000000}" name="ABU_WPF2_TS" dataDxfId="31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20000000}" name="Wirtschaft_WPF2_TS" displayName="Wirtschaft_WPF2_TS" ref="F216:F222" totalsRowShown="0" headerRowDxfId="30" dataDxfId="29" tableBorderDxfId="28">
  <autoFilter ref="F216:F222" xr:uid="{00000000-0009-0000-0100-00001F000000}"/>
  <sortState xmlns:xlrd2="http://schemas.microsoft.com/office/spreadsheetml/2017/richdata2" ref="F225:F231">
    <sortCondition sortBy="fontColor" ref="F225:F231" dxfId="27"/>
    <sortCondition ref="F225:F231"/>
  </sortState>
  <tableColumns count="1">
    <tableColumn id="1" xr3:uid="{00000000-0010-0000-2000-000001000000}" name="Wirtschaft_WPF2_TS" dataDxfId="2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CF3D2BF5-C2BF-4DB7-A505-24F71EA6000F}" name="Schnitt_von_bis_420_tab" displayName="Schnitt_von_bis_420_tab" ref="E2:G49" totalsRowShown="0" headerRowDxfId="197" dataDxfId="196">
  <autoFilter ref="E2:G49" xr:uid="{00000000-0009-0000-0100-000006000000}"/>
  <tableColumns count="3">
    <tableColumn id="1" xr3:uid="{3A29D3F2-9B0F-4A46-8542-862389DAFE4F}" name="Schnitt" dataDxfId="195">
      <calculatedColumnFormula>SMALL(Punkteschnitt_420_tab[Schnitt],12)</calculatedColumnFormula>
    </tableColumn>
    <tableColumn id="2" xr3:uid="{B3A632D5-D66C-4DAE-9688-8B28964EB612}" name="Punkte maximal" dataDxfId="194">
      <calculatedColumnFormula>INDEX(Punkteschnitt_420_tab[],MATCH(Schnitt_von_bis_420_tab[[#This Row],[Schnitt]],Punkteschnitt_420_tab[Schnitt],0),1)</calculatedColumnFormula>
    </tableColumn>
    <tableColumn id="3" xr3:uid="{D086B67F-C309-4A27-8D12-24BAF8F83934}" name="Punkte minimal" dataDxfId="193">
      <calculatedColumnFormula>IF(F4&gt;0,F4+1,0)</calculatedColumnFormula>
    </tableColumn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21000000}" name="Internation_WPF2_TS" displayName="Internation_WPF2_TS" ref="F238:F246" totalsRowShown="0" headerRowDxfId="25" dataDxfId="24" tableBorderDxfId="23">
  <autoFilter ref="F238:F246" xr:uid="{00000000-0009-0000-0100-000020000000}"/>
  <sortState xmlns:xlrd2="http://schemas.microsoft.com/office/spreadsheetml/2017/richdata2" ref="F248:F255">
    <sortCondition sortBy="fontColor" ref="F248:F255" dxfId="22"/>
    <sortCondition ref="F248:F255"/>
  </sortState>
  <tableColumns count="1">
    <tableColumn id="1" xr3:uid="{00000000-0010-0000-2100-000001000000}" name="Internation_WPF2_TS" dataDxfId="21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2000000}" name="Sozialwesen_WPF2_TS" displayName="Sozialwesen_WPF2_TS" ref="F261:F267" totalsRowShown="0" headerRowDxfId="20" dataDxfId="19" tableBorderDxfId="18">
  <autoFilter ref="F261:F267" xr:uid="{00000000-0009-0000-0100-000021000000}"/>
  <sortState xmlns:xlrd2="http://schemas.microsoft.com/office/spreadsheetml/2017/richdata2" ref="F271:F277">
    <sortCondition sortBy="fontColor" ref="F271:F277" dxfId="17"/>
    <sortCondition ref="F271:F277"/>
  </sortState>
  <tableColumns count="1">
    <tableColumn id="1" xr3:uid="{00000000-0010-0000-2200-000001000000}" name="Sozialwesen_WPF2_TS" dataDxfId="16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3000000}" name="Gesundheit_WPF2_TS" displayName="Gesundheit_WPF2_TS" ref="F283:F292" totalsRowShown="0" headerRowDxfId="15" dataDxfId="14" tableBorderDxfId="13">
  <autoFilter ref="F283:F292" xr:uid="{00000000-0009-0000-0100-000022000000}"/>
  <sortState xmlns:xlrd2="http://schemas.microsoft.com/office/spreadsheetml/2017/richdata2" ref="F294:F302">
    <sortCondition sortBy="fontColor" ref="F294:F302" dxfId="12"/>
    <sortCondition ref="F294:F302"/>
  </sortState>
  <tableColumns count="1">
    <tableColumn id="1" xr3:uid="{00000000-0010-0000-2300-000001000000}" name="Gesundheit_WPF2_TS" dataDxfId="11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4000000}" name="Gestaltung_WPF2_TS" displayName="Gestaltung_WPF2_TS" ref="F308:F316" totalsRowShown="0" headerRowDxfId="10" dataDxfId="9" tableBorderDxfId="8">
  <autoFilter ref="F308:F316" xr:uid="{00000000-0009-0000-0100-000023000000}"/>
  <sortState xmlns:xlrd2="http://schemas.microsoft.com/office/spreadsheetml/2017/richdata2" ref="F319:F326">
    <sortCondition sortBy="fontColor" ref="F319:F326" dxfId="7"/>
    <sortCondition ref="F319:F326"/>
  </sortState>
  <tableColumns count="1">
    <tableColumn id="1" xr3:uid="{00000000-0010-0000-2400-000001000000}" name="Gestaltung_WPF2_TS" dataDxfId="6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5000000}" name="_WPF1_TS" displayName="_WPF1_TS" ref="F13:F14" totalsRowShown="0" dataDxfId="5" tableBorderDxfId="4">
  <autoFilter ref="F13:F14" xr:uid="{00000000-0009-0000-0100-000024000000}"/>
  <tableColumns count="1">
    <tableColumn id="1" xr3:uid="{00000000-0010-0000-2500-000001000000}" name="_WPF1_TS" dataDxfId="3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6000000}" name="_WPF2_TS" displayName="_WPF2_TS" ref="F169:F170" totalsRowShown="0" dataDxfId="2" tableBorderDxfId="1">
  <autoFilter ref="F169:F170" xr:uid="{00000000-0009-0000-0100-000025000000}"/>
  <tableColumns count="1">
    <tableColumn id="1" xr3:uid="{00000000-0010-0000-2600-000001000000}" name="_WPF2_TS" dataDxfId="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46D49B4E-68B2-4231-B7D3-B8F0422FB37C}" name="Noten_tab" displayName="Noten_tab" ref="B2:D18" totalsRowShown="0">
  <autoFilter ref="B2:D18" xr:uid="{7BE09F9B-2E29-45E1-8401-F3176350526A}"/>
  <tableColumns count="3">
    <tableColumn id="1" xr3:uid="{B5404088-A9A5-41A3-A70E-8B630FBF538C}" name="Punkte" dataDxfId="192"/>
    <tableColumn id="2" xr3:uid="{280E7FD0-8B01-404D-A78D-68C1784E32FB}" name="Note in Worten" dataDxfId="191"/>
    <tableColumn id="3" xr3:uid="{93D56797-062F-478C-BF7B-1A9853EF9F9D}" name="Note" dataDxfId="19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filfaecher_tab" displayName="Profilfaecher_tab" ref="B21:E30" totalsRowShown="0" headerRowDxfId="189" dataDxfId="188">
  <autoFilter ref="B21:E30" xr:uid="{00000000-0009-0000-0100-000001000000}"/>
  <tableColumns count="4">
    <tableColumn id="1" xr3:uid="{00000000-0010-0000-0000-000001000000}" name="AR" dataDxfId="187"/>
    <tableColumn id="2" xr3:uid="{00000000-0010-0000-0000-000002000000}" name="Profilfach1" dataDxfId="186"/>
    <tableColumn id="3" xr3:uid="{00000000-0010-0000-0000-000003000000}" name="Profilfach2" dataDxfId="185"/>
    <tableColumn id="4" xr3:uid="{00000000-0010-0000-0000-000004000000}" name="Profilfach3" dataDxfId="18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R" displayName="AR" ref="B4:B12" totalsRowShown="0" headerRowDxfId="183" dataDxfId="181" headerRowBorderDxfId="182" tableBorderDxfId="180" totalsRowBorderDxfId="179">
  <autoFilter ref="B4:B12" xr:uid="{00000000-0009-0000-0100-000002000000}"/>
  <sortState xmlns:xlrd2="http://schemas.microsoft.com/office/spreadsheetml/2017/richdata2" ref="B4:B11">
    <sortCondition sortBy="fontColor" ref="B5" dxfId="178"/>
  </sortState>
  <tableColumns count="1">
    <tableColumn id="1" xr3:uid="{00000000-0010-0000-0100-000001000000}" name="AR" dataDxfId="17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treichkategorien_tab" displayName="Streichkategorien_tab" ref="B33:B36" totalsRowShown="0" headerRowDxfId="176" dataDxfId="175">
  <autoFilter ref="B33:B36" xr:uid="{00000000-0009-0000-0100-000003000000}"/>
  <sortState xmlns:xlrd2="http://schemas.microsoft.com/office/spreadsheetml/2017/richdata2" ref="B33:B35">
    <sortCondition sortBy="fontColor" ref="B3" dxfId="174"/>
  </sortState>
  <tableColumns count="1">
    <tableColumn id="1" xr3:uid="{00000000-0010-0000-0200-000001000000}" name="Streichen" dataDxfId="17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AR_TS" displayName="AR_TS" ref="B14:B19" totalsRowShown="0" headerRowDxfId="172" dataDxfId="170" headerRowBorderDxfId="171" tableBorderDxfId="169" totalsRowBorderDxfId="168">
  <autoFilter ref="B14:B19" xr:uid="{00000000-0009-0000-0100-000004000000}"/>
  <sortState xmlns:xlrd2="http://schemas.microsoft.com/office/spreadsheetml/2017/richdata2" ref="B14:B21">
    <sortCondition sortBy="fontColor" ref="B5" dxfId="167"/>
  </sortState>
  <tableColumns count="1">
    <tableColumn id="1" xr3:uid="{00000000-0010-0000-0300-000001000000}" name="AR_TS" dataDxfId="16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.xml"/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Relationship Id="rId9" Type="http://schemas.openxmlformats.org/officeDocument/2006/relationships/table" Target="../tables/table13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1.xml"/><Relationship Id="rId13" Type="http://schemas.openxmlformats.org/officeDocument/2006/relationships/table" Target="../tables/table26.xml"/><Relationship Id="rId18" Type="http://schemas.openxmlformats.org/officeDocument/2006/relationships/table" Target="../tables/table31.xml"/><Relationship Id="rId26" Type="http://schemas.openxmlformats.org/officeDocument/2006/relationships/table" Target="../tables/table39.xml"/><Relationship Id="rId3" Type="http://schemas.openxmlformats.org/officeDocument/2006/relationships/table" Target="../tables/table16.xml"/><Relationship Id="rId21" Type="http://schemas.openxmlformats.org/officeDocument/2006/relationships/table" Target="../tables/table34.xml"/><Relationship Id="rId7" Type="http://schemas.openxmlformats.org/officeDocument/2006/relationships/table" Target="../tables/table20.xml"/><Relationship Id="rId12" Type="http://schemas.openxmlformats.org/officeDocument/2006/relationships/table" Target="../tables/table25.xml"/><Relationship Id="rId17" Type="http://schemas.openxmlformats.org/officeDocument/2006/relationships/table" Target="../tables/table30.xml"/><Relationship Id="rId25" Type="http://schemas.openxmlformats.org/officeDocument/2006/relationships/table" Target="../tables/table38.xml"/><Relationship Id="rId2" Type="http://schemas.openxmlformats.org/officeDocument/2006/relationships/table" Target="../tables/table15.xml"/><Relationship Id="rId16" Type="http://schemas.openxmlformats.org/officeDocument/2006/relationships/table" Target="../tables/table29.xml"/><Relationship Id="rId20" Type="http://schemas.openxmlformats.org/officeDocument/2006/relationships/table" Target="../tables/table33.xml"/><Relationship Id="rId29" Type="http://schemas.openxmlformats.org/officeDocument/2006/relationships/table" Target="../tables/table42.xml"/><Relationship Id="rId1" Type="http://schemas.openxmlformats.org/officeDocument/2006/relationships/table" Target="../tables/table14.xml"/><Relationship Id="rId6" Type="http://schemas.openxmlformats.org/officeDocument/2006/relationships/table" Target="../tables/table19.xml"/><Relationship Id="rId11" Type="http://schemas.openxmlformats.org/officeDocument/2006/relationships/table" Target="../tables/table24.xml"/><Relationship Id="rId24" Type="http://schemas.openxmlformats.org/officeDocument/2006/relationships/table" Target="../tables/table37.xml"/><Relationship Id="rId32" Type="http://schemas.openxmlformats.org/officeDocument/2006/relationships/table" Target="../tables/table45.xml"/><Relationship Id="rId5" Type="http://schemas.openxmlformats.org/officeDocument/2006/relationships/table" Target="../tables/table18.xml"/><Relationship Id="rId15" Type="http://schemas.openxmlformats.org/officeDocument/2006/relationships/table" Target="../tables/table28.xml"/><Relationship Id="rId23" Type="http://schemas.openxmlformats.org/officeDocument/2006/relationships/table" Target="../tables/table36.xml"/><Relationship Id="rId28" Type="http://schemas.openxmlformats.org/officeDocument/2006/relationships/table" Target="../tables/table41.xml"/><Relationship Id="rId10" Type="http://schemas.openxmlformats.org/officeDocument/2006/relationships/table" Target="../tables/table23.xml"/><Relationship Id="rId19" Type="http://schemas.openxmlformats.org/officeDocument/2006/relationships/table" Target="../tables/table32.xml"/><Relationship Id="rId31" Type="http://schemas.openxmlformats.org/officeDocument/2006/relationships/table" Target="../tables/table44.xml"/><Relationship Id="rId4" Type="http://schemas.openxmlformats.org/officeDocument/2006/relationships/table" Target="../tables/table17.xml"/><Relationship Id="rId9" Type="http://schemas.openxmlformats.org/officeDocument/2006/relationships/table" Target="../tables/table22.xml"/><Relationship Id="rId14" Type="http://schemas.openxmlformats.org/officeDocument/2006/relationships/table" Target="../tables/table27.xml"/><Relationship Id="rId22" Type="http://schemas.openxmlformats.org/officeDocument/2006/relationships/table" Target="../tables/table35.xml"/><Relationship Id="rId27" Type="http://schemas.openxmlformats.org/officeDocument/2006/relationships/table" Target="../tables/table40.xml"/><Relationship Id="rId30" Type="http://schemas.openxmlformats.org/officeDocument/2006/relationships/table" Target="../tables/table4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/>
  <dimension ref="A2:K25"/>
  <sheetViews>
    <sheetView showGridLines="0" tabSelected="1" workbookViewId="0">
      <selection activeCell="C8" sqref="C8:G8"/>
    </sheetView>
  </sheetViews>
  <sheetFormatPr baseColWidth="10" defaultRowHeight="15" x14ac:dyDescent="0.25"/>
  <cols>
    <col min="1" max="1" width="11.42578125" style="8"/>
    <col min="2" max="2" width="11.42578125" style="174"/>
    <col min="3" max="8" width="11.42578125" style="8"/>
    <col min="9" max="9" width="11.42578125" style="174"/>
    <col min="10" max="16384" width="11.42578125" style="8"/>
  </cols>
  <sheetData>
    <row r="2" spans="1:11" ht="23.25" x14ac:dyDescent="0.35">
      <c r="A2" s="268" t="s">
        <v>163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4" spans="1:11" ht="51" customHeight="1" x14ac:dyDescent="0.35">
      <c r="B4" s="269" t="s">
        <v>298</v>
      </c>
      <c r="C4" s="269"/>
      <c r="D4" s="269"/>
      <c r="E4" s="269"/>
      <c r="F4" s="269"/>
      <c r="G4" s="269"/>
      <c r="H4" s="269"/>
      <c r="I4" s="269"/>
      <c r="J4" s="269"/>
      <c r="K4" s="269"/>
    </row>
    <row r="5" spans="1:11" ht="14.25" customHeight="1" x14ac:dyDescent="0.35"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11" s="15" customFormat="1" ht="31.5" customHeight="1" x14ac:dyDescent="0.25">
      <c r="B6" s="270" t="s">
        <v>162</v>
      </c>
      <c r="C6" s="271"/>
      <c r="D6" s="271"/>
      <c r="E6" s="271"/>
      <c r="F6" s="271"/>
      <c r="G6" s="271"/>
      <c r="H6" s="271"/>
      <c r="I6" s="271"/>
      <c r="J6" s="271"/>
      <c r="K6" s="271"/>
    </row>
    <row r="8" spans="1:11" ht="27" customHeight="1" x14ac:dyDescent="0.25">
      <c r="B8" s="176" t="s">
        <v>296</v>
      </c>
      <c r="C8" s="266" t="s">
        <v>178</v>
      </c>
      <c r="D8" s="266"/>
      <c r="E8" s="266"/>
      <c r="F8" s="266"/>
      <c r="G8" s="266"/>
    </row>
    <row r="9" spans="1:11" x14ac:dyDescent="0.25">
      <c r="C9" s="81"/>
      <c r="D9" s="81"/>
      <c r="E9" s="81"/>
      <c r="F9" s="81"/>
      <c r="G9" s="81"/>
    </row>
    <row r="10" spans="1:11" ht="27" customHeight="1" x14ac:dyDescent="0.25">
      <c r="B10" s="177" t="s">
        <v>297</v>
      </c>
      <c r="C10" s="266" t="s">
        <v>178</v>
      </c>
      <c r="D10" s="266"/>
      <c r="E10" s="266"/>
      <c r="F10" s="266"/>
      <c r="G10" s="266"/>
    </row>
    <row r="12" spans="1:11" ht="14.25" customHeight="1" x14ac:dyDescent="0.25">
      <c r="B12" s="8"/>
      <c r="C12" s="267"/>
      <c r="D12" s="267"/>
      <c r="E12" s="267"/>
      <c r="F12" s="267"/>
      <c r="G12" s="267"/>
    </row>
    <row r="13" spans="1:11" ht="90" customHeight="1" x14ac:dyDescent="0.25">
      <c r="B13" s="272" t="s">
        <v>42</v>
      </c>
      <c r="C13" s="272"/>
      <c r="D13" s="272"/>
      <c r="E13" s="272"/>
      <c r="F13" s="272"/>
      <c r="G13" s="272"/>
      <c r="H13" s="272"/>
      <c r="I13" s="272"/>
    </row>
    <row r="21" spans="2:5" x14ac:dyDescent="0.25">
      <c r="C21" s="265" t="s">
        <v>312</v>
      </c>
      <c r="D21" s="265"/>
      <c r="E21" s="265"/>
    </row>
    <row r="22" spans="2:5" x14ac:dyDescent="0.25">
      <c r="B22" s="178" t="s">
        <v>177</v>
      </c>
      <c r="C22" s="8" t="s">
        <v>313</v>
      </c>
    </row>
    <row r="23" spans="2:5" x14ac:dyDescent="0.25">
      <c r="B23" s="8"/>
      <c r="C23" s="8" t="s">
        <v>37</v>
      </c>
    </row>
    <row r="24" spans="2:5" x14ac:dyDescent="0.25">
      <c r="B24" s="8"/>
      <c r="C24" s="8" t="s">
        <v>38</v>
      </c>
    </row>
    <row r="25" spans="2:5" x14ac:dyDescent="0.25">
      <c r="B25" s="8"/>
      <c r="C25" s="8" t="s">
        <v>39</v>
      </c>
    </row>
  </sheetData>
  <sheetProtection algorithmName="SHA-512" hashValue="q6v1EmmvIXO//UzmrKoLVKm3jGAIkZQ/2egMKLzR1aOTd+TuTXK5M8b+S0gvaGHQmQANeG18AkEzP1IdJs+HeA==" saltValue="nrQtxOmIPV/0ikNti7qvFg==" spinCount="100000" sheet="1" objects="1" scenarios="1" selectLockedCells="1"/>
  <mergeCells count="8">
    <mergeCell ref="C21:E21"/>
    <mergeCell ref="C8:G8"/>
    <mergeCell ref="C12:G12"/>
    <mergeCell ref="A2:K2"/>
    <mergeCell ref="C10:G10"/>
    <mergeCell ref="B4:K4"/>
    <mergeCell ref="B6:K6"/>
    <mergeCell ref="B13:I13"/>
  </mergeCells>
  <dataValidations count="1">
    <dataValidation type="list" allowBlank="1" showInputMessage="1" showErrorMessage="1" sqref="C8:G8" xr:uid="{7663B67F-426C-4684-89D2-4D74D46977EF}">
      <formula1>INDIRECT("Schule_tab")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A2802C-30D1-40FA-86B3-A13B3896A434}">
          <x14:formula1>
            <xm:f>INDIRECT(Dropdownlisten!$B$1)</xm:f>
          </x14:formula1>
          <xm:sqref>C10:G10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rgb="FF00B050"/>
    <pageSetUpPr fitToPage="1"/>
  </sheetPr>
  <dimension ref="A1:KO59"/>
  <sheetViews>
    <sheetView showGridLines="0" zoomScale="80" zoomScaleNormal="80" workbookViewId="0">
      <selection activeCell="B20" sqref="B20:E20"/>
    </sheetView>
  </sheetViews>
  <sheetFormatPr baseColWidth="10" defaultRowHeight="15" x14ac:dyDescent="0.25"/>
  <cols>
    <col min="1" max="1" width="2.85546875" style="74" customWidth="1"/>
    <col min="2" max="2" width="40" style="74" customWidth="1"/>
    <col min="3" max="3" width="13.28515625" style="28" customWidth="1"/>
    <col min="4" max="8" width="10.5703125" style="74" customWidth="1"/>
    <col min="9" max="9" width="10.5703125" style="74" hidden="1" customWidth="1"/>
    <col min="10" max="10" width="10.5703125" style="74" customWidth="1"/>
    <col min="11" max="12" width="11.42578125" style="74" hidden="1" customWidth="1"/>
    <col min="13" max="15" width="18.42578125" style="74" hidden="1" customWidth="1"/>
    <col min="16" max="16" width="11.42578125" style="74" hidden="1" customWidth="1"/>
    <col min="17" max="17" width="19.5703125" style="76" hidden="1" customWidth="1"/>
    <col min="18" max="18" width="24.42578125" style="76" hidden="1" customWidth="1"/>
    <col min="19" max="19" width="25.7109375" style="76" hidden="1" customWidth="1"/>
    <col min="20" max="20" width="46" style="76" hidden="1" customWidth="1"/>
    <col min="21" max="21" width="23.42578125" style="76" hidden="1" customWidth="1"/>
    <col min="22" max="22" width="43.5703125" style="76" hidden="1" customWidth="1"/>
    <col min="23" max="23" width="16.85546875" style="76" hidden="1" customWidth="1"/>
    <col min="24" max="24" width="37.140625" style="76" hidden="1" customWidth="1"/>
    <col min="25" max="25" width="31.7109375" style="76" hidden="1" customWidth="1"/>
    <col min="26" max="32" width="24" style="76" hidden="1" customWidth="1"/>
    <col min="33" max="37" width="11.42578125" style="76" hidden="1" customWidth="1"/>
    <col min="38" max="38" width="25.85546875" style="76" hidden="1" customWidth="1"/>
    <col min="39" max="50" width="11.42578125" style="76" hidden="1" customWidth="1"/>
    <col min="51" max="51" width="15.42578125" style="76" hidden="1" customWidth="1"/>
    <col min="52" max="52" width="11.42578125" style="76" hidden="1" customWidth="1"/>
    <col min="53" max="53" width="11.42578125" style="76" customWidth="1"/>
    <col min="54" max="54" width="40" style="74" customWidth="1"/>
    <col min="55" max="56" width="10.5703125" style="74" customWidth="1"/>
    <col min="57" max="57" width="11.5703125" style="74" customWidth="1"/>
    <col min="58" max="59" width="11.42578125" style="74" customWidth="1"/>
    <col min="60" max="63" width="10" style="74" customWidth="1"/>
    <col min="64" max="64" width="20" style="74" customWidth="1"/>
    <col min="65" max="67" width="11.42578125" style="74" hidden="1" customWidth="1"/>
    <col min="68" max="68" width="15.28515625" style="74" hidden="1" customWidth="1"/>
    <col min="69" max="69" width="25.7109375" style="74" hidden="1" customWidth="1"/>
    <col min="70" max="70" width="46" style="74" hidden="1" customWidth="1"/>
    <col min="71" max="71" width="23.42578125" style="74" hidden="1" customWidth="1"/>
    <col min="72" max="72" width="43.5703125" style="74" hidden="1" customWidth="1"/>
    <col min="73" max="73" width="19.85546875" style="74" hidden="1" customWidth="1"/>
    <col min="74" max="74" width="39" style="74" hidden="1" customWidth="1"/>
    <col min="75" max="75" width="34" style="74" hidden="1" customWidth="1"/>
    <col min="76" max="76" width="24" style="74" hidden="1" customWidth="1"/>
    <col min="77" max="81" width="11.42578125" style="74" hidden="1" customWidth="1"/>
    <col min="82" max="82" width="18.28515625" style="74" hidden="1" customWidth="1"/>
    <col min="83" max="94" width="11.42578125" style="74" hidden="1" customWidth="1"/>
    <col min="95" max="95" width="14.140625" style="74" hidden="1" customWidth="1"/>
    <col min="96" max="96" width="11.42578125" style="74" hidden="1" customWidth="1"/>
    <col min="97" max="97" width="11.42578125" style="74" customWidth="1"/>
    <col min="98" max="98" width="40" style="74" customWidth="1"/>
    <col min="99" max="100" width="10.5703125" style="74" customWidth="1"/>
    <col min="101" max="101" width="11.5703125" style="74" customWidth="1"/>
    <col min="102" max="102" width="11.42578125" style="74" customWidth="1"/>
    <col min="103" max="103" width="10.5703125" style="74" customWidth="1"/>
    <col min="104" max="104" width="10" style="4" customWidth="1"/>
    <col min="105" max="105" width="10" style="5" customWidth="1"/>
    <col min="106" max="106" width="10" style="74" customWidth="1"/>
    <col min="107" max="107" width="10" style="6" customWidth="1"/>
    <col min="108" max="108" width="20" style="4" customWidth="1"/>
    <col min="109" max="109" width="11.42578125" style="5" hidden="1" customWidth="1"/>
    <col min="110" max="111" width="11.42578125" style="74" hidden="1" customWidth="1"/>
    <col min="112" max="112" width="26.28515625" style="74" hidden="1" customWidth="1"/>
    <col min="113" max="113" width="46.42578125" style="74" hidden="1" customWidth="1"/>
    <col min="114" max="114" width="25" style="74" hidden="1" customWidth="1"/>
    <col min="115" max="115" width="45.42578125" style="74" hidden="1" customWidth="1"/>
    <col min="116" max="116" width="38.5703125" style="74" hidden="1" customWidth="1"/>
    <col min="117" max="117" width="30.28515625" style="74" hidden="1" customWidth="1"/>
    <col min="118" max="118" width="44.5703125" style="74" hidden="1" customWidth="1"/>
    <col min="119" max="119" width="16.85546875" style="74" hidden="1" customWidth="1"/>
    <col min="120" max="120" width="35" style="74" hidden="1" customWidth="1"/>
    <col min="121" max="121" width="20.28515625" style="74" hidden="1" customWidth="1"/>
    <col min="122" max="122" width="24" style="74" hidden="1" customWidth="1"/>
    <col min="123" max="123" width="26.42578125" style="74" hidden="1" customWidth="1"/>
    <col min="124" max="124" width="27.42578125" style="74" hidden="1" customWidth="1"/>
    <col min="125" max="126" width="39.140625" style="74" hidden="1" customWidth="1"/>
    <col min="127" max="127" width="16" style="74" hidden="1" customWidth="1"/>
    <col min="128" max="128" width="21.7109375" style="74" hidden="1" customWidth="1"/>
    <col min="129" max="129" width="16.42578125" style="74" hidden="1" customWidth="1"/>
    <col min="130" max="130" width="22.140625" style="74" hidden="1" customWidth="1"/>
    <col min="131" max="131" width="16.42578125" style="74" hidden="1" customWidth="1"/>
    <col min="132" max="132" width="22.140625" style="74" hidden="1" customWidth="1"/>
    <col min="133" max="133" width="16.42578125" style="74" hidden="1" customWidth="1"/>
    <col min="134" max="134" width="22.140625" style="74" hidden="1" customWidth="1"/>
    <col min="135" max="135" width="16.42578125" style="74" hidden="1" customWidth="1"/>
    <col min="136" max="161" width="22.140625" style="74" hidden="1" customWidth="1"/>
    <col min="162" max="162" width="22" style="74" hidden="1" customWidth="1"/>
    <col min="163" max="171" width="22.42578125" style="74" hidden="1" customWidth="1"/>
    <col min="172" max="176" width="11.42578125" style="74" hidden="1" customWidth="1"/>
    <col min="177" max="177" width="14.42578125" style="74" hidden="1" customWidth="1"/>
    <col min="178" max="178" width="16.7109375" style="74" hidden="1" customWidth="1"/>
    <col min="179" max="190" width="11.42578125" style="74" hidden="1" customWidth="1"/>
    <col min="191" max="191" width="14.85546875" style="74" hidden="1" customWidth="1"/>
    <col min="192" max="192" width="11.42578125" style="74" hidden="1" customWidth="1"/>
    <col min="193" max="193" width="11.42578125" style="74"/>
    <col min="194" max="194" width="40" style="74" customWidth="1"/>
    <col min="195" max="196" width="10.5703125" style="74" customWidth="1"/>
    <col min="197" max="199" width="11.42578125" style="74"/>
    <col min="200" max="203" width="10" style="74" customWidth="1"/>
    <col min="204" max="204" width="20" style="74" customWidth="1"/>
    <col min="205" max="206" width="11.42578125" style="74" hidden="1" customWidth="1"/>
    <col min="207" max="207" width="26.28515625" style="74" hidden="1" customWidth="1"/>
    <col min="208" max="208" width="46.42578125" style="74" hidden="1" customWidth="1"/>
    <col min="209" max="209" width="25" style="74" hidden="1" customWidth="1"/>
    <col min="210" max="210" width="45.42578125" style="74" hidden="1" customWidth="1"/>
    <col min="211" max="211" width="38.5703125" style="74" hidden="1" customWidth="1"/>
    <col min="212" max="212" width="30.28515625" style="74" hidden="1" customWidth="1"/>
    <col min="213" max="213" width="44.5703125" style="74" hidden="1" customWidth="1"/>
    <col min="214" max="214" width="16.85546875" style="74" hidden="1" customWidth="1"/>
    <col min="215" max="215" width="27.7109375" style="74" hidden="1" customWidth="1"/>
    <col min="216" max="216" width="29.28515625" style="74" hidden="1" customWidth="1"/>
    <col min="217" max="217" width="20.28515625" style="74" hidden="1" customWidth="1"/>
    <col min="218" max="218" width="24" style="74" hidden="1" customWidth="1"/>
    <col min="219" max="219" width="26.42578125" style="74" hidden="1" customWidth="1"/>
    <col min="220" max="220" width="25.85546875" style="74" hidden="1" customWidth="1"/>
    <col min="221" max="222" width="39.140625" style="74" hidden="1" customWidth="1"/>
    <col min="223" max="223" width="16" style="74" hidden="1" customWidth="1"/>
    <col min="224" max="224" width="21.7109375" style="74" hidden="1" customWidth="1"/>
    <col min="225" max="225" width="16.42578125" style="74" hidden="1" customWidth="1"/>
    <col min="226" max="226" width="22.140625" style="74" hidden="1" customWidth="1"/>
    <col min="227" max="227" width="16.42578125" style="74" hidden="1" customWidth="1"/>
    <col min="228" max="228" width="22.140625" style="74" hidden="1" customWidth="1"/>
    <col min="229" max="229" width="16.42578125" style="74" hidden="1" customWidth="1"/>
    <col min="230" max="230" width="22.140625" style="74" hidden="1" customWidth="1"/>
    <col min="231" max="231" width="16.42578125" style="74" hidden="1" customWidth="1"/>
    <col min="232" max="262" width="22.140625" style="74" hidden="1" customWidth="1"/>
    <col min="263" max="263" width="22" style="74" hidden="1" customWidth="1"/>
    <col min="264" max="267" width="22.42578125" style="74" hidden="1" customWidth="1"/>
    <col min="268" max="272" width="11.42578125" style="74" hidden="1" customWidth="1"/>
    <col min="273" max="273" width="13.7109375" style="74" hidden="1" customWidth="1"/>
    <col min="274" max="274" width="17.5703125" style="74" hidden="1" customWidth="1"/>
    <col min="275" max="286" width="11.42578125" style="74" hidden="1" customWidth="1"/>
    <col min="287" max="287" width="14.85546875" style="74" hidden="1" customWidth="1"/>
    <col min="288" max="288" width="11.42578125" style="74" hidden="1" customWidth="1"/>
    <col min="289" max="289" width="11.42578125" style="74"/>
    <col min="290" max="290" width="40" style="74" customWidth="1"/>
    <col min="291" max="292" width="10.5703125" style="74" customWidth="1"/>
    <col min="293" max="295" width="11.42578125" style="74"/>
    <col min="296" max="299" width="10" style="74" customWidth="1"/>
    <col min="300" max="300" width="20" style="74" customWidth="1"/>
    <col min="301" max="301" width="11.42578125" style="74" hidden="1" customWidth="1"/>
    <col min="302" max="302" width="11.42578125" style="74" customWidth="1"/>
    <col min="303" max="16384" width="11.42578125" style="74"/>
  </cols>
  <sheetData>
    <row r="1" spans="2:301" ht="32.25" customHeight="1" x14ac:dyDescent="0.25">
      <c r="B1" s="54" t="s">
        <v>82</v>
      </c>
      <c r="G1" s="278" t="s">
        <v>107</v>
      </c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</row>
    <row r="2" spans="2:301" ht="30" customHeight="1" x14ac:dyDescent="0.25">
      <c r="B2" s="390" t="str">
        <f>IFERROR(IF(Start!$C$10="Bitte klicken zum Auswählen","Bitte die Ausbildungsrichtung auswählen",Start!C$10),"")</f>
        <v>Bitte die Ausbildungsrichtung auswählen</v>
      </c>
      <c r="C2" s="390"/>
      <c r="D2" s="390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293" t="s">
        <v>243</v>
      </c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33"/>
      <c r="BN2" s="33"/>
      <c r="BO2" s="33"/>
      <c r="CT2" s="294" t="s">
        <v>244</v>
      </c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FY2" s="156"/>
      <c r="FZ2" s="159"/>
      <c r="GA2" s="157"/>
      <c r="GB2" s="159"/>
      <c r="GL2" s="295" t="str">
        <f>IFERROR(IF(FM21="ja","Gesamtergebnisoptimierter Streichvorschlag der Leistungen für die Fachgebundene Hochschulreife",""),"")</f>
        <v/>
      </c>
      <c r="GM2" s="295"/>
      <c r="GN2" s="295"/>
      <c r="GO2" s="295"/>
      <c r="GP2" s="295"/>
      <c r="GQ2" s="295"/>
      <c r="GR2" s="295"/>
      <c r="GS2" s="295"/>
      <c r="GT2" s="295"/>
      <c r="GU2" s="295"/>
      <c r="GV2" s="295"/>
      <c r="JP2" s="155"/>
      <c r="JR2" s="157"/>
      <c r="KD2" s="296" t="str">
        <f>IFERROR(IF(JE21="ja","Gesamtergebnisoptimierter Streichvorschlag der Leistungen für die Allgemeine Hochschulreife",""),"")</f>
        <v/>
      </c>
      <c r="KE2" s="296"/>
      <c r="KF2" s="296"/>
      <c r="KG2" s="296"/>
      <c r="KH2" s="296"/>
      <c r="KI2" s="296"/>
      <c r="KJ2" s="296"/>
      <c r="KK2" s="296"/>
      <c r="KL2" s="296"/>
      <c r="KM2" s="296"/>
      <c r="KN2" s="296"/>
    </row>
    <row r="3" spans="2:301" x14ac:dyDescent="0.25"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W3" s="34"/>
      <c r="KD3" s="52"/>
    </row>
    <row r="4" spans="2:301" s="46" customFormat="1" ht="36" customHeight="1" thickBot="1" x14ac:dyDescent="0.3">
      <c r="B4" s="413" t="s">
        <v>292</v>
      </c>
      <c r="C4" s="413"/>
      <c r="D4" s="413"/>
      <c r="E4" s="413"/>
      <c r="F4" s="413"/>
      <c r="G4" s="413"/>
      <c r="H4" s="413"/>
      <c r="I4" s="413"/>
      <c r="J4" s="413"/>
      <c r="K4" s="45"/>
      <c r="L4" s="45"/>
      <c r="M4" s="45"/>
      <c r="N4" s="45"/>
      <c r="O4" s="45"/>
      <c r="P4" s="45"/>
      <c r="Q4" s="80"/>
      <c r="R4" s="80"/>
      <c r="S4" s="80"/>
      <c r="T4" s="80"/>
      <c r="U4" s="80"/>
      <c r="V4" s="80"/>
      <c r="W4" s="80"/>
      <c r="X4" s="80"/>
      <c r="Y4" s="80"/>
      <c r="Z4" s="80"/>
      <c r="AA4" s="429" t="s">
        <v>299</v>
      </c>
      <c r="AB4" s="429"/>
      <c r="AC4" s="429"/>
      <c r="AD4" s="429"/>
      <c r="AE4" s="429"/>
      <c r="AF4" s="429"/>
      <c r="AG4" s="80"/>
      <c r="AH4" s="80"/>
      <c r="AI4" s="80"/>
      <c r="AJ4" s="80"/>
      <c r="AK4" s="80"/>
      <c r="AL4" s="80"/>
      <c r="AM4" s="422" t="s">
        <v>171</v>
      </c>
      <c r="AN4" s="423"/>
      <c r="AO4" s="424"/>
      <c r="AP4" s="124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394"/>
      <c r="BC4" s="394"/>
      <c r="BD4" s="394"/>
      <c r="BE4" s="47"/>
      <c r="BF4" s="47"/>
      <c r="BG4" s="136"/>
      <c r="BH4" s="136"/>
      <c r="BI4" s="136"/>
      <c r="BJ4" s="47"/>
      <c r="BK4" s="47"/>
      <c r="BL4" s="47"/>
      <c r="BM4" s="47"/>
      <c r="BN4" s="47"/>
      <c r="BO4" s="47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430" t="s">
        <v>171</v>
      </c>
      <c r="CF4" s="431"/>
      <c r="CG4" s="432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45"/>
      <c r="CT4" s="394"/>
      <c r="CU4" s="394"/>
      <c r="CV4" s="394"/>
      <c r="CW4" s="47"/>
      <c r="CY4" s="136"/>
      <c r="CZ4" s="146"/>
      <c r="DA4" s="147"/>
      <c r="DC4" s="50"/>
      <c r="DD4" s="48"/>
      <c r="DE4" s="49"/>
      <c r="DH4" s="281" t="s">
        <v>51</v>
      </c>
      <c r="DI4" s="282"/>
      <c r="DJ4" s="282"/>
      <c r="DK4" s="282"/>
      <c r="DL4" s="282"/>
      <c r="DM4" s="282"/>
      <c r="DN4" s="282"/>
      <c r="DO4" s="282"/>
      <c r="DP4" s="282"/>
      <c r="DQ4" s="282"/>
      <c r="DR4" s="282"/>
      <c r="DS4" s="282"/>
      <c r="DT4" s="282"/>
      <c r="DU4" s="282"/>
      <c r="DV4" s="282"/>
      <c r="DW4" s="282"/>
      <c r="DX4" s="282"/>
      <c r="DY4" s="282"/>
      <c r="DZ4" s="282"/>
      <c r="EA4" s="282"/>
      <c r="EB4" s="282"/>
      <c r="EC4" s="282"/>
      <c r="ED4" s="282"/>
      <c r="EE4" s="282"/>
      <c r="EF4" s="297"/>
      <c r="EG4" s="282"/>
      <c r="EH4" s="282"/>
      <c r="EI4" s="282"/>
      <c r="EJ4" s="282"/>
      <c r="EK4" s="282"/>
      <c r="EL4" s="282"/>
      <c r="EM4" s="282"/>
      <c r="EN4" s="282"/>
      <c r="EO4" s="282"/>
      <c r="EP4" s="282"/>
      <c r="EQ4" s="282"/>
      <c r="ER4" s="282"/>
      <c r="ES4" s="282"/>
      <c r="ET4" s="282"/>
      <c r="EU4" s="282"/>
      <c r="EV4" s="282"/>
      <c r="EW4" s="282"/>
      <c r="EX4" s="282"/>
      <c r="EY4" s="282"/>
      <c r="EZ4" s="282"/>
      <c r="FA4" s="282"/>
      <c r="FB4" s="282"/>
      <c r="FC4" s="282"/>
      <c r="FD4" s="282"/>
      <c r="FE4" s="282"/>
      <c r="FF4" s="282"/>
      <c r="FG4" s="282"/>
      <c r="FH4" s="282"/>
      <c r="FI4" s="282"/>
      <c r="FJ4" s="282"/>
      <c r="FK4" s="282"/>
      <c r="FL4" s="282"/>
      <c r="FM4" s="282"/>
      <c r="FN4" s="282"/>
      <c r="FO4" s="282"/>
      <c r="FP4" s="282"/>
      <c r="FQ4" s="282"/>
      <c r="FR4" s="282"/>
      <c r="FS4" s="282"/>
      <c r="FT4" s="282"/>
      <c r="FU4" s="282"/>
      <c r="FV4" s="283"/>
      <c r="FW4" s="158"/>
      <c r="FX4" s="158"/>
      <c r="FY4" s="158"/>
      <c r="FZ4" s="158"/>
      <c r="GA4" s="158"/>
      <c r="GB4" s="158"/>
      <c r="GC4" s="158"/>
      <c r="GD4" s="158"/>
      <c r="GE4" s="158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Y4" s="281" t="s">
        <v>57</v>
      </c>
      <c r="GZ4" s="282"/>
      <c r="HA4" s="282"/>
      <c r="HB4" s="282"/>
      <c r="HC4" s="282"/>
      <c r="HD4" s="282"/>
      <c r="HE4" s="282"/>
      <c r="HF4" s="282"/>
      <c r="HG4" s="282"/>
      <c r="HH4" s="282"/>
      <c r="HI4" s="282"/>
      <c r="HJ4" s="282"/>
      <c r="HK4" s="282"/>
      <c r="HL4" s="282"/>
      <c r="HM4" s="282"/>
      <c r="HN4" s="282"/>
      <c r="HO4" s="282"/>
      <c r="HP4" s="282"/>
      <c r="HQ4" s="282"/>
      <c r="HR4" s="282"/>
      <c r="HS4" s="282"/>
      <c r="HT4" s="282"/>
      <c r="HU4" s="282"/>
      <c r="HV4" s="282"/>
      <c r="HW4" s="282"/>
      <c r="HX4" s="282"/>
      <c r="HY4" s="282"/>
      <c r="HZ4" s="282"/>
      <c r="IA4" s="282"/>
      <c r="IB4" s="282"/>
      <c r="IC4" s="282"/>
      <c r="ID4" s="282"/>
      <c r="IE4" s="282"/>
      <c r="IF4" s="282"/>
      <c r="IG4" s="282"/>
      <c r="IH4" s="282"/>
      <c r="II4" s="282"/>
      <c r="IJ4" s="282"/>
      <c r="IK4" s="282"/>
      <c r="IL4" s="282"/>
      <c r="IM4" s="282"/>
      <c r="IN4" s="282"/>
      <c r="IO4" s="282"/>
      <c r="IP4" s="282"/>
      <c r="IQ4" s="282"/>
      <c r="IR4" s="282"/>
      <c r="IS4" s="282"/>
      <c r="IT4" s="282"/>
      <c r="IU4" s="282"/>
      <c r="IV4" s="282"/>
      <c r="IW4" s="282"/>
      <c r="IX4" s="282"/>
      <c r="IY4" s="282"/>
      <c r="IZ4" s="282"/>
      <c r="JA4" s="282"/>
      <c r="JB4" s="282"/>
      <c r="JC4" s="282"/>
      <c r="JD4" s="282"/>
      <c r="JE4" s="282"/>
      <c r="JF4" s="282"/>
      <c r="JG4" s="282"/>
      <c r="JH4" s="282"/>
      <c r="JI4" s="282"/>
      <c r="JJ4" s="282"/>
      <c r="JK4" s="282"/>
      <c r="JL4" s="282"/>
      <c r="JM4" s="282"/>
      <c r="JN4" s="283"/>
      <c r="JO4" s="284"/>
      <c r="JP4" s="284"/>
      <c r="JQ4" s="284"/>
      <c r="JR4" s="284"/>
      <c r="JS4" s="284"/>
      <c r="JT4" s="284"/>
      <c r="JU4" s="284"/>
      <c r="JV4" s="284"/>
      <c r="JW4" s="284"/>
    </row>
    <row r="5" spans="2:301" ht="15.75" thickBot="1" x14ac:dyDescent="0.3">
      <c r="B5" s="417" t="s">
        <v>0</v>
      </c>
      <c r="C5" s="307" t="s">
        <v>43</v>
      </c>
      <c r="D5" s="307" t="s">
        <v>101</v>
      </c>
      <c r="E5" s="307" t="s">
        <v>102</v>
      </c>
      <c r="G5" s="419" t="s">
        <v>36</v>
      </c>
      <c r="H5" s="420"/>
      <c r="I5" s="420"/>
      <c r="J5" s="421"/>
      <c r="K5" s="5"/>
      <c r="L5" s="5"/>
      <c r="M5" s="425" t="s">
        <v>173</v>
      </c>
      <c r="N5" s="425"/>
      <c r="O5" s="9"/>
      <c r="Q5" s="86" t="s">
        <v>168</v>
      </c>
      <c r="R5" s="90"/>
      <c r="S5" s="95"/>
      <c r="T5" s="96"/>
      <c r="U5" s="96"/>
      <c r="V5" s="96"/>
      <c r="W5" s="96"/>
      <c r="X5" s="96"/>
      <c r="Y5" s="96"/>
      <c r="Z5" s="97"/>
      <c r="AA5" s="257"/>
      <c r="AB5" s="257"/>
      <c r="AC5" s="257"/>
      <c r="AD5" s="257"/>
      <c r="AE5" s="257"/>
      <c r="AF5" s="257"/>
      <c r="AG5" s="286" t="s">
        <v>47</v>
      </c>
      <c r="AH5" s="285"/>
      <c r="AI5" s="285"/>
      <c r="AJ5" s="287"/>
      <c r="AK5" s="164"/>
      <c r="AL5" s="166"/>
      <c r="AM5" s="164" t="s">
        <v>25</v>
      </c>
      <c r="AN5" s="165" t="s">
        <v>25</v>
      </c>
      <c r="AO5" s="166" t="s">
        <v>25</v>
      </c>
      <c r="AP5" s="90" t="s">
        <v>25</v>
      </c>
      <c r="AQ5" s="286"/>
      <c r="AR5" s="287"/>
      <c r="AS5" s="90" t="s">
        <v>103</v>
      </c>
      <c r="AT5" s="288"/>
      <c r="AU5" s="289"/>
      <c r="AV5" s="9"/>
      <c r="AW5" s="288"/>
      <c r="AX5" s="428"/>
      <c r="AY5" s="132"/>
      <c r="AZ5" s="133"/>
      <c r="BA5" s="9"/>
      <c r="BB5" s="417" t="s">
        <v>0</v>
      </c>
      <c r="BC5" s="307" t="s">
        <v>101</v>
      </c>
      <c r="BD5" s="307" t="s">
        <v>102</v>
      </c>
      <c r="BE5" s="34"/>
      <c r="BF5" s="290" t="s">
        <v>36</v>
      </c>
      <c r="BG5" s="136"/>
      <c r="BH5" s="303" t="s">
        <v>19</v>
      </c>
      <c r="BI5" s="304"/>
      <c r="BJ5" s="303" t="s">
        <v>200</v>
      </c>
      <c r="BK5" s="304"/>
      <c r="BL5" s="290" t="s">
        <v>199</v>
      </c>
      <c r="BM5" s="5"/>
      <c r="BN5" s="44"/>
      <c r="BO5" s="34"/>
      <c r="BP5" s="95"/>
      <c r="BQ5" s="96"/>
      <c r="BR5" s="96"/>
      <c r="BS5" s="96"/>
      <c r="BT5" s="96"/>
      <c r="BU5" s="96"/>
      <c r="BV5" s="96"/>
      <c r="BW5" s="96"/>
      <c r="BX5" s="97"/>
      <c r="BY5" s="286" t="s">
        <v>47</v>
      </c>
      <c r="BZ5" s="285"/>
      <c r="CA5" s="285"/>
      <c r="CB5" s="287"/>
      <c r="CC5" s="164"/>
      <c r="CD5" s="166"/>
      <c r="CE5" s="164" t="s">
        <v>25</v>
      </c>
      <c r="CF5" s="165" t="s">
        <v>25</v>
      </c>
      <c r="CG5" s="166" t="s">
        <v>25</v>
      </c>
      <c r="CH5" s="90" t="s">
        <v>25</v>
      </c>
      <c r="CI5" s="286"/>
      <c r="CJ5" s="287"/>
      <c r="CK5" s="90" t="s">
        <v>103</v>
      </c>
      <c r="CL5" s="288"/>
      <c r="CM5" s="289"/>
      <c r="CN5" s="9"/>
      <c r="CO5" s="288"/>
      <c r="CP5" s="428"/>
      <c r="CQ5" s="132"/>
      <c r="CR5" s="133"/>
      <c r="CT5" s="307" t="s">
        <v>0</v>
      </c>
      <c r="CU5" s="307" t="s">
        <v>101</v>
      </c>
      <c r="CV5" s="307" t="s">
        <v>102</v>
      </c>
      <c r="CW5" s="34"/>
      <c r="CX5" s="290" t="s">
        <v>288</v>
      </c>
      <c r="CY5" s="137"/>
      <c r="CZ5" s="303" t="s">
        <v>19</v>
      </c>
      <c r="DA5" s="304"/>
      <c r="DB5" s="303" t="s">
        <v>200</v>
      </c>
      <c r="DC5" s="304"/>
      <c r="DD5" s="290" t="s">
        <v>199</v>
      </c>
      <c r="DH5" s="162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79"/>
      <c r="DT5" s="163"/>
      <c r="DU5" s="180"/>
      <c r="DV5" s="181"/>
      <c r="DW5" s="163"/>
      <c r="DX5" s="163"/>
      <c r="DY5" s="179"/>
      <c r="DZ5" s="163"/>
      <c r="EA5" s="179"/>
      <c r="EB5" s="163"/>
      <c r="EC5" s="179"/>
      <c r="ED5" s="163"/>
      <c r="EE5" s="179"/>
      <c r="EF5" s="167"/>
      <c r="EG5" s="428" t="s">
        <v>251</v>
      </c>
      <c r="EH5" s="428"/>
      <c r="EI5" s="428"/>
      <c r="EJ5" s="163"/>
      <c r="EK5" s="163"/>
      <c r="EL5" s="435" t="s">
        <v>251</v>
      </c>
      <c r="EM5" s="428"/>
      <c r="EN5" s="428"/>
      <c r="EO5" s="163"/>
      <c r="EP5" s="180"/>
      <c r="EQ5" s="428" t="s">
        <v>251</v>
      </c>
      <c r="ER5" s="428"/>
      <c r="ES5" s="428"/>
      <c r="ET5" s="163"/>
      <c r="EU5" s="163"/>
      <c r="EV5" s="179"/>
      <c r="EW5" s="163"/>
      <c r="EX5" s="163"/>
      <c r="EY5" s="163"/>
      <c r="EZ5" s="180"/>
      <c r="FA5" s="163"/>
      <c r="FB5" s="163"/>
      <c r="FC5" s="163"/>
      <c r="FD5" s="163"/>
      <c r="FE5" s="163"/>
      <c r="FF5" s="182"/>
      <c r="FG5" s="132"/>
      <c r="FH5" s="132"/>
      <c r="FI5" s="132"/>
      <c r="FJ5" s="132"/>
      <c r="FK5" s="182"/>
      <c r="FL5" s="132"/>
      <c r="FM5" s="132"/>
      <c r="FN5" s="132"/>
      <c r="FO5" s="132"/>
      <c r="FP5" s="286" t="s">
        <v>47</v>
      </c>
      <c r="FQ5" s="285"/>
      <c r="FR5" s="285"/>
      <c r="FS5" s="285"/>
      <c r="FT5" s="287"/>
      <c r="FU5" s="285" t="s">
        <v>213</v>
      </c>
      <c r="FV5" s="285"/>
      <c r="FW5" s="164" t="s">
        <v>25</v>
      </c>
      <c r="FX5" s="165" t="s">
        <v>25</v>
      </c>
      <c r="FY5" s="166" t="s">
        <v>25</v>
      </c>
      <c r="FZ5" s="90" t="s">
        <v>25</v>
      </c>
      <c r="GA5" s="286"/>
      <c r="GB5" s="287"/>
      <c r="GC5" s="90"/>
      <c r="GD5" s="288"/>
      <c r="GE5" s="289"/>
      <c r="GG5" s="288"/>
      <c r="GH5" s="428"/>
      <c r="GI5" s="132"/>
      <c r="GJ5" s="133"/>
      <c r="GK5" s="9"/>
      <c r="GL5" s="417" t="s">
        <v>0</v>
      </c>
      <c r="GM5" s="307" t="s">
        <v>101</v>
      </c>
      <c r="GN5" s="307" t="s">
        <v>102</v>
      </c>
      <c r="GO5" s="34"/>
      <c r="GP5" s="436" t="s">
        <v>288</v>
      </c>
      <c r="GQ5" s="136"/>
      <c r="GR5" s="303" t="s">
        <v>19</v>
      </c>
      <c r="GS5" s="304"/>
      <c r="GT5" s="303" t="s">
        <v>200</v>
      </c>
      <c r="GU5" s="304"/>
      <c r="GV5" s="290" t="s">
        <v>199</v>
      </c>
      <c r="GW5" s="5"/>
      <c r="GX5" s="76"/>
      <c r="GY5" s="162"/>
      <c r="GZ5" s="163"/>
      <c r="HA5" s="163"/>
      <c r="HB5" s="163"/>
      <c r="HC5" s="163"/>
      <c r="HD5" s="163"/>
      <c r="HE5" s="163"/>
      <c r="HF5" s="163"/>
      <c r="HG5" s="163"/>
      <c r="HH5" s="163"/>
      <c r="HI5" s="163"/>
      <c r="HJ5" s="180"/>
      <c r="HK5" s="163"/>
      <c r="HL5" s="163"/>
      <c r="HM5" s="180"/>
      <c r="HN5" s="181"/>
      <c r="HO5" s="163"/>
      <c r="HP5" s="163"/>
      <c r="HQ5" s="179"/>
      <c r="HR5" s="163"/>
      <c r="HS5" s="179"/>
      <c r="HT5" s="163"/>
      <c r="HU5" s="179"/>
      <c r="HV5" s="163"/>
      <c r="HW5" s="179"/>
      <c r="HX5" s="163"/>
      <c r="HY5" s="288" t="s">
        <v>251</v>
      </c>
      <c r="HZ5" s="428"/>
      <c r="IA5" s="428"/>
      <c r="IB5" s="163"/>
      <c r="IC5" s="163"/>
      <c r="ID5" s="435" t="s">
        <v>251</v>
      </c>
      <c r="IE5" s="428"/>
      <c r="IF5" s="428"/>
      <c r="IG5" s="163"/>
      <c r="IH5" s="180"/>
      <c r="II5" s="428" t="s">
        <v>251</v>
      </c>
      <c r="IJ5" s="428"/>
      <c r="IK5" s="428"/>
      <c r="IL5" s="163"/>
      <c r="IM5" s="163"/>
      <c r="IN5" s="179"/>
      <c r="IO5" s="163"/>
      <c r="IP5" s="163"/>
      <c r="IQ5" s="163"/>
      <c r="IR5" s="180"/>
      <c r="IS5" s="163"/>
      <c r="IT5" s="163"/>
      <c r="IU5" s="163"/>
      <c r="IV5" s="163"/>
      <c r="IW5" s="163"/>
      <c r="IX5" s="162"/>
      <c r="IY5" s="163"/>
      <c r="IZ5" s="163"/>
      <c r="JA5" s="163"/>
      <c r="JB5" s="163"/>
      <c r="JC5" s="182"/>
      <c r="JD5" s="132"/>
      <c r="JE5" s="132"/>
      <c r="JF5" s="132"/>
      <c r="JG5" s="133"/>
      <c r="JH5" s="286" t="s">
        <v>47</v>
      </c>
      <c r="JI5" s="285"/>
      <c r="JJ5" s="285"/>
      <c r="JK5" s="285"/>
      <c r="JL5" s="287"/>
      <c r="JM5" s="285" t="s">
        <v>213</v>
      </c>
      <c r="JN5" s="285"/>
      <c r="JO5" s="164" t="s">
        <v>25</v>
      </c>
      <c r="JP5" s="165" t="s">
        <v>25</v>
      </c>
      <c r="JQ5" s="166" t="s">
        <v>25</v>
      </c>
      <c r="JR5" s="90" t="s">
        <v>25</v>
      </c>
      <c r="JS5" s="286"/>
      <c r="JT5" s="287"/>
      <c r="JU5" s="90"/>
      <c r="JV5" s="288"/>
      <c r="JW5" s="289"/>
      <c r="JY5" s="288"/>
      <c r="JZ5" s="428"/>
      <c r="KA5" s="132"/>
      <c r="KB5" s="133"/>
      <c r="KD5" s="417" t="s">
        <v>0</v>
      </c>
      <c r="KE5" s="307" t="s">
        <v>101</v>
      </c>
      <c r="KF5" s="307" t="s">
        <v>102</v>
      </c>
      <c r="KG5" s="34"/>
      <c r="KH5" s="290" t="s">
        <v>288</v>
      </c>
      <c r="KI5" s="137"/>
      <c r="KJ5" s="303" t="s">
        <v>19</v>
      </c>
      <c r="KK5" s="304"/>
      <c r="KL5" s="303" t="s">
        <v>200</v>
      </c>
      <c r="KM5" s="304"/>
      <c r="KN5" s="290" t="s">
        <v>199</v>
      </c>
      <c r="KO5" s="5"/>
    </row>
    <row r="6" spans="2:301" ht="18.75" customHeight="1" thickBot="1" x14ac:dyDescent="0.3">
      <c r="B6" s="418"/>
      <c r="C6" s="308"/>
      <c r="D6" s="308"/>
      <c r="E6" s="308"/>
      <c r="G6" s="7" t="s">
        <v>45</v>
      </c>
      <c r="H6" s="7" t="s">
        <v>46</v>
      </c>
      <c r="I6" s="7"/>
      <c r="J6" s="7" t="s">
        <v>19</v>
      </c>
      <c r="K6" s="10"/>
      <c r="L6" s="10"/>
      <c r="M6" s="7" t="s">
        <v>1</v>
      </c>
      <c r="N6" s="7" t="s">
        <v>2</v>
      </c>
      <c r="O6" s="7" t="s">
        <v>189</v>
      </c>
      <c r="P6" s="8"/>
      <c r="Q6" s="87" t="s">
        <v>169</v>
      </c>
      <c r="R6" s="91" t="s">
        <v>190</v>
      </c>
      <c r="S6" s="98" t="s">
        <v>191</v>
      </c>
      <c r="T6" s="99" t="s">
        <v>192</v>
      </c>
      <c r="U6" s="99" t="s">
        <v>193</v>
      </c>
      <c r="V6" s="99" t="s">
        <v>194</v>
      </c>
      <c r="W6" s="99" t="s">
        <v>195</v>
      </c>
      <c r="X6" s="99" t="s">
        <v>196</v>
      </c>
      <c r="Y6" s="99" t="s">
        <v>197</v>
      </c>
      <c r="Z6" s="100" t="s">
        <v>198</v>
      </c>
      <c r="AA6" s="258" t="s">
        <v>300</v>
      </c>
      <c r="AB6" s="259" t="s">
        <v>170</v>
      </c>
      <c r="AC6" s="259" t="s">
        <v>29</v>
      </c>
      <c r="AD6" s="259" t="s">
        <v>172</v>
      </c>
      <c r="AE6" s="258" t="s">
        <v>214</v>
      </c>
      <c r="AF6" s="258" t="s">
        <v>301</v>
      </c>
      <c r="AG6" s="108" t="s">
        <v>48</v>
      </c>
      <c r="AH6" s="77" t="s">
        <v>49</v>
      </c>
      <c r="AI6" s="77" t="s">
        <v>50</v>
      </c>
      <c r="AJ6" s="109" t="s">
        <v>44</v>
      </c>
      <c r="AK6" s="108" t="s">
        <v>26</v>
      </c>
      <c r="AL6" s="117" t="s">
        <v>27</v>
      </c>
      <c r="AM6" s="108" t="s">
        <v>170</v>
      </c>
      <c r="AN6" s="77" t="s">
        <v>29</v>
      </c>
      <c r="AO6" s="109" t="s">
        <v>172</v>
      </c>
      <c r="AP6" s="91" t="s">
        <v>28</v>
      </c>
      <c r="AQ6" s="125" t="s">
        <v>1</v>
      </c>
      <c r="AR6" s="126" t="s">
        <v>2</v>
      </c>
      <c r="AS6" s="129"/>
      <c r="AT6" s="125" t="s">
        <v>1</v>
      </c>
      <c r="AU6" s="126" t="s">
        <v>2</v>
      </c>
      <c r="AV6" s="9"/>
      <c r="AW6" s="125" t="s">
        <v>1</v>
      </c>
      <c r="AX6" s="9" t="s">
        <v>2</v>
      </c>
      <c r="AY6" s="9" t="s">
        <v>21</v>
      </c>
      <c r="AZ6" s="126" t="s">
        <v>20</v>
      </c>
      <c r="BA6" s="9"/>
      <c r="BB6" s="418"/>
      <c r="BC6" s="308"/>
      <c r="BD6" s="308"/>
      <c r="BE6" s="10"/>
      <c r="BF6" s="291"/>
      <c r="BG6" s="136"/>
      <c r="BH6" s="305"/>
      <c r="BI6" s="306"/>
      <c r="BJ6" s="305"/>
      <c r="BK6" s="306"/>
      <c r="BL6" s="309"/>
      <c r="BM6" s="5"/>
      <c r="BN6" s="9"/>
      <c r="BO6" s="10"/>
      <c r="BP6" s="98" t="s">
        <v>190</v>
      </c>
      <c r="BQ6" s="99" t="s">
        <v>191</v>
      </c>
      <c r="BR6" s="99" t="s">
        <v>192</v>
      </c>
      <c r="BS6" s="99" t="s">
        <v>193</v>
      </c>
      <c r="BT6" s="99" t="s">
        <v>194</v>
      </c>
      <c r="BU6" s="99" t="s">
        <v>195</v>
      </c>
      <c r="BV6" s="99" t="s">
        <v>196</v>
      </c>
      <c r="BW6" s="99" t="s">
        <v>197</v>
      </c>
      <c r="BX6" s="100" t="s">
        <v>212</v>
      </c>
      <c r="BY6" s="108" t="s">
        <v>48</v>
      </c>
      <c r="BZ6" s="77" t="s">
        <v>49</v>
      </c>
      <c r="CA6" s="77" t="s">
        <v>50</v>
      </c>
      <c r="CB6" s="109" t="s">
        <v>44</v>
      </c>
      <c r="CC6" s="108" t="s">
        <v>26</v>
      </c>
      <c r="CD6" s="117" t="s">
        <v>27</v>
      </c>
      <c r="CE6" s="108" t="s">
        <v>170</v>
      </c>
      <c r="CF6" s="77" t="s">
        <v>29</v>
      </c>
      <c r="CG6" s="109" t="s">
        <v>172</v>
      </c>
      <c r="CH6" s="91" t="s">
        <v>28</v>
      </c>
      <c r="CI6" s="125" t="s">
        <v>1</v>
      </c>
      <c r="CJ6" s="126" t="s">
        <v>2</v>
      </c>
      <c r="CK6" s="129"/>
      <c r="CL6" s="125" t="s">
        <v>1</v>
      </c>
      <c r="CM6" s="126" t="s">
        <v>2</v>
      </c>
      <c r="CN6" s="9"/>
      <c r="CO6" s="125" t="s">
        <v>1</v>
      </c>
      <c r="CP6" s="9" t="s">
        <v>2</v>
      </c>
      <c r="CQ6" s="9" t="s">
        <v>21</v>
      </c>
      <c r="CR6" s="126" t="s">
        <v>20</v>
      </c>
      <c r="CT6" s="308"/>
      <c r="CU6" s="308"/>
      <c r="CV6" s="308"/>
      <c r="CW6" s="10"/>
      <c r="CX6" s="291"/>
      <c r="CY6" s="10"/>
      <c r="CZ6" s="305"/>
      <c r="DA6" s="306"/>
      <c r="DB6" s="305"/>
      <c r="DC6" s="306"/>
      <c r="DD6" s="309"/>
      <c r="DH6" s="125" t="s">
        <v>214</v>
      </c>
      <c r="DI6" s="76" t="s">
        <v>215</v>
      </c>
      <c r="DJ6" s="76" t="s">
        <v>216</v>
      </c>
      <c r="DK6" s="76" t="s">
        <v>217</v>
      </c>
      <c r="DL6" s="76" t="s">
        <v>218</v>
      </c>
      <c r="DM6" s="76" t="s">
        <v>219</v>
      </c>
      <c r="DN6" s="76" t="s">
        <v>220</v>
      </c>
      <c r="DO6" s="76" t="s">
        <v>221</v>
      </c>
      <c r="DP6" s="76" t="s">
        <v>249</v>
      </c>
      <c r="DQ6" s="76" t="s">
        <v>222</v>
      </c>
      <c r="DR6" s="9" t="s">
        <v>223</v>
      </c>
      <c r="DS6" s="183" t="s">
        <v>246</v>
      </c>
      <c r="DT6" s="9" t="s">
        <v>245</v>
      </c>
      <c r="DU6" s="184" t="s">
        <v>247</v>
      </c>
      <c r="DV6" s="185" t="s">
        <v>250</v>
      </c>
      <c r="DW6" s="76" t="s">
        <v>224</v>
      </c>
      <c r="DX6" s="76" t="s">
        <v>225</v>
      </c>
      <c r="DY6" s="183" t="s">
        <v>226</v>
      </c>
      <c r="DZ6" s="76" t="s">
        <v>227</v>
      </c>
      <c r="EA6" s="183" t="s">
        <v>228</v>
      </c>
      <c r="EB6" s="76" t="s">
        <v>229</v>
      </c>
      <c r="EC6" s="183" t="s">
        <v>230</v>
      </c>
      <c r="ED6" s="76" t="s">
        <v>231</v>
      </c>
      <c r="EE6" s="183" t="s">
        <v>232</v>
      </c>
      <c r="EF6" s="126" t="s">
        <v>233</v>
      </c>
      <c r="EG6" s="9" t="s">
        <v>252</v>
      </c>
      <c r="EH6" s="76" t="s">
        <v>253</v>
      </c>
      <c r="EI6" s="76" t="s">
        <v>254</v>
      </c>
      <c r="EJ6" s="76" t="s">
        <v>255</v>
      </c>
      <c r="EK6" s="76" t="s">
        <v>256</v>
      </c>
      <c r="EL6" s="183" t="s">
        <v>257</v>
      </c>
      <c r="EM6" s="9" t="s">
        <v>258</v>
      </c>
      <c r="EN6" s="9" t="s">
        <v>259</v>
      </c>
      <c r="EO6" s="9" t="s">
        <v>260</v>
      </c>
      <c r="EP6" s="184" t="s">
        <v>261</v>
      </c>
      <c r="EQ6" s="76" t="s">
        <v>262</v>
      </c>
      <c r="ER6" s="76" t="s">
        <v>263</v>
      </c>
      <c r="ES6" s="76" t="s">
        <v>264</v>
      </c>
      <c r="ET6" s="76" t="s">
        <v>265</v>
      </c>
      <c r="EU6" s="76" t="s">
        <v>266</v>
      </c>
      <c r="EV6" s="183" t="s">
        <v>267</v>
      </c>
      <c r="EW6" s="9" t="s">
        <v>268</v>
      </c>
      <c r="EX6" s="9" t="s">
        <v>269</v>
      </c>
      <c r="EY6" s="9" t="s">
        <v>270</v>
      </c>
      <c r="EZ6" s="184" t="s">
        <v>271</v>
      </c>
      <c r="FA6" s="76" t="s">
        <v>272</v>
      </c>
      <c r="FB6" s="76" t="s">
        <v>273</v>
      </c>
      <c r="FC6" s="76" t="s">
        <v>274</v>
      </c>
      <c r="FD6" s="76" t="s">
        <v>275</v>
      </c>
      <c r="FE6" s="111" t="s">
        <v>276</v>
      </c>
      <c r="FF6" s="125" t="s">
        <v>277</v>
      </c>
      <c r="FG6" s="76" t="s">
        <v>278</v>
      </c>
      <c r="FH6" s="76" t="s">
        <v>279</v>
      </c>
      <c r="FI6" s="76" t="s">
        <v>280</v>
      </c>
      <c r="FJ6" s="9" t="s">
        <v>281</v>
      </c>
      <c r="FK6" s="125" t="s">
        <v>234</v>
      </c>
      <c r="FL6" s="9" t="s">
        <v>235</v>
      </c>
      <c r="FM6" s="9" t="s">
        <v>236</v>
      </c>
      <c r="FN6" s="9" t="s">
        <v>237</v>
      </c>
      <c r="FO6" s="126" t="s">
        <v>238</v>
      </c>
      <c r="FP6" s="186" t="s">
        <v>48</v>
      </c>
      <c r="FQ6" s="187" t="s">
        <v>49</v>
      </c>
      <c r="FR6" s="187" t="s">
        <v>50</v>
      </c>
      <c r="FS6" s="187" t="s">
        <v>239</v>
      </c>
      <c r="FT6" s="188" t="s">
        <v>44</v>
      </c>
      <c r="FU6" s="187" t="s">
        <v>26</v>
      </c>
      <c r="FV6" s="75" t="s">
        <v>27</v>
      </c>
      <c r="FW6" s="108" t="s">
        <v>170</v>
      </c>
      <c r="FX6" s="75" t="s">
        <v>29</v>
      </c>
      <c r="FY6" s="109" t="s">
        <v>172</v>
      </c>
      <c r="FZ6" s="91" t="s">
        <v>28</v>
      </c>
      <c r="GA6" s="125" t="s">
        <v>1</v>
      </c>
      <c r="GB6" s="126" t="s">
        <v>2</v>
      </c>
      <c r="GC6" s="129" t="s">
        <v>103</v>
      </c>
      <c r="GD6" s="125" t="s">
        <v>1</v>
      </c>
      <c r="GE6" s="126" t="s">
        <v>2</v>
      </c>
      <c r="GG6" s="125" t="s">
        <v>1</v>
      </c>
      <c r="GH6" s="9" t="s">
        <v>2</v>
      </c>
      <c r="GI6" s="9" t="s">
        <v>21</v>
      </c>
      <c r="GJ6" s="126" t="s">
        <v>20</v>
      </c>
      <c r="GK6" s="9"/>
      <c r="GL6" s="418"/>
      <c r="GM6" s="308"/>
      <c r="GN6" s="308"/>
      <c r="GO6" s="10"/>
      <c r="GP6" s="308"/>
      <c r="GQ6" s="136"/>
      <c r="GR6" s="305"/>
      <c r="GS6" s="306"/>
      <c r="GT6" s="305"/>
      <c r="GU6" s="306"/>
      <c r="GV6" s="309"/>
      <c r="GW6" s="5"/>
      <c r="GX6" s="76"/>
      <c r="GY6" s="125" t="s">
        <v>214</v>
      </c>
      <c r="GZ6" s="76" t="s">
        <v>215</v>
      </c>
      <c r="HA6" s="76" t="s">
        <v>216</v>
      </c>
      <c r="HB6" s="76" t="s">
        <v>217</v>
      </c>
      <c r="HC6" s="76" t="s">
        <v>218</v>
      </c>
      <c r="HD6" s="76" t="s">
        <v>219</v>
      </c>
      <c r="HE6" s="76" t="s">
        <v>220</v>
      </c>
      <c r="HF6" s="76" t="s">
        <v>190</v>
      </c>
      <c r="HG6" s="76" t="s">
        <v>248</v>
      </c>
      <c r="HH6" s="76" t="s">
        <v>249</v>
      </c>
      <c r="HI6" s="76" t="s">
        <v>222</v>
      </c>
      <c r="HJ6" s="184" t="s">
        <v>223</v>
      </c>
      <c r="HK6" s="9" t="s">
        <v>246</v>
      </c>
      <c r="HL6" s="9" t="s">
        <v>245</v>
      </c>
      <c r="HM6" s="184" t="s">
        <v>247</v>
      </c>
      <c r="HN6" s="185" t="s">
        <v>250</v>
      </c>
      <c r="HO6" s="76" t="s">
        <v>224</v>
      </c>
      <c r="HP6" s="76" t="s">
        <v>225</v>
      </c>
      <c r="HQ6" s="183" t="s">
        <v>226</v>
      </c>
      <c r="HR6" s="76" t="s">
        <v>227</v>
      </c>
      <c r="HS6" s="183" t="s">
        <v>228</v>
      </c>
      <c r="HT6" s="76" t="s">
        <v>229</v>
      </c>
      <c r="HU6" s="183" t="s">
        <v>230</v>
      </c>
      <c r="HV6" s="76" t="s">
        <v>231</v>
      </c>
      <c r="HW6" s="183" t="s">
        <v>232</v>
      </c>
      <c r="HX6" s="126" t="s">
        <v>233</v>
      </c>
      <c r="HY6" s="9" t="s">
        <v>252</v>
      </c>
      <c r="HZ6" s="76" t="s">
        <v>253</v>
      </c>
      <c r="IA6" s="76" t="s">
        <v>254</v>
      </c>
      <c r="IB6" s="76" t="s">
        <v>255</v>
      </c>
      <c r="IC6" s="76" t="s">
        <v>256</v>
      </c>
      <c r="ID6" s="183" t="s">
        <v>257</v>
      </c>
      <c r="IE6" s="9" t="s">
        <v>258</v>
      </c>
      <c r="IF6" s="9" t="s">
        <v>259</v>
      </c>
      <c r="IG6" s="9" t="s">
        <v>260</v>
      </c>
      <c r="IH6" s="184" t="s">
        <v>261</v>
      </c>
      <c r="II6" s="76" t="s">
        <v>262</v>
      </c>
      <c r="IJ6" s="76" t="s">
        <v>263</v>
      </c>
      <c r="IK6" s="76" t="s">
        <v>264</v>
      </c>
      <c r="IL6" s="76" t="s">
        <v>265</v>
      </c>
      <c r="IM6" s="76" t="s">
        <v>266</v>
      </c>
      <c r="IN6" s="183" t="s">
        <v>267</v>
      </c>
      <c r="IO6" s="9" t="s">
        <v>268</v>
      </c>
      <c r="IP6" s="9" t="s">
        <v>269</v>
      </c>
      <c r="IQ6" s="9" t="s">
        <v>270</v>
      </c>
      <c r="IR6" s="184" t="s">
        <v>271</v>
      </c>
      <c r="IS6" s="76" t="s">
        <v>272</v>
      </c>
      <c r="IT6" s="76" t="s">
        <v>273</v>
      </c>
      <c r="IU6" s="76" t="s">
        <v>274</v>
      </c>
      <c r="IV6" s="76" t="s">
        <v>275</v>
      </c>
      <c r="IW6" s="78" t="s">
        <v>276</v>
      </c>
      <c r="IX6" s="110" t="s">
        <v>277</v>
      </c>
      <c r="IY6" s="78" t="s">
        <v>278</v>
      </c>
      <c r="IZ6" s="78" t="s">
        <v>279</v>
      </c>
      <c r="JA6" s="78" t="s">
        <v>280</v>
      </c>
      <c r="JB6" s="78" t="s">
        <v>281</v>
      </c>
      <c r="JC6" s="125" t="s">
        <v>234</v>
      </c>
      <c r="JD6" s="76" t="s">
        <v>235</v>
      </c>
      <c r="JE6" s="76" t="s">
        <v>236</v>
      </c>
      <c r="JF6" s="76" t="s">
        <v>237</v>
      </c>
      <c r="JG6" s="126" t="s">
        <v>238</v>
      </c>
      <c r="JH6" s="186" t="s">
        <v>48</v>
      </c>
      <c r="JI6" s="187" t="s">
        <v>49</v>
      </c>
      <c r="JJ6" s="187" t="s">
        <v>50</v>
      </c>
      <c r="JK6" s="187" t="s">
        <v>239</v>
      </c>
      <c r="JL6" s="188" t="s">
        <v>44</v>
      </c>
      <c r="JM6" s="187" t="s">
        <v>26</v>
      </c>
      <c r="JN6" s="75" t="s">
        <v>27</v>
      </c>
      <c r="JO6" s="108" t="s">
        <v>170</v>
      </c>
      <c r="JP6" s="75" t="s">
        <v>29</v>
      </c>
      <c r="JQ6" s="109" t="s">
        <v>172</v>
      </c>
      <c r="JR6" s="91" t="s">
        <v>28</v>
      </c>
      <c r="JS6" s="125" t="s">
        <v>1</v>
      </c>
      <c r="JT6" s="126" t="s">
        <v>2</v>
      </c>
      <c r="JU6" s="129" t="s">
        <v>103</v>
      </c>
      <c r="JV6" s="125" t="s">
        <v>1</v>
      </c>
      <c r="JW6" s="126" t="s">
        <v>2</v>
      </c>
      <c r="JY6" s="125" t="s">
        <v>1</v>
      </c>
      <c r="JZ6" s="9" t="s">
        <v>2</v>
      </c>
      <c r="KA6" s="9" t="s">
        <v>21</v>
      </c>
      <c r="KB6" s="126" t="s">
        <v>20</v>
      </c>
      <c r="KD6" s="418"/>
      <c r="KE6" s="308"/>
      <c r="KF6" s="308"/>
      <c r="KG6" s="10"/>
      <c r="KH6" s="291"/>
      <c r="KI6" s="10"/>
      <c r="KJ6" s="305"/>
      <c r="KK6" s="306"/>
      <c r="KL6" s="305"/>
      <c r="KM6" s="306"/>
      <c r="KN6" s="309"/>
      <c r="KO6" s="5"/>
    </row>
    <row r="7" spans="2:301" ht="18.75" customHeight="1" x14ac:dyDescent="0.25">
      <c r="B7" s="11" t="s">
        <v>5</v>
      </c>
      <c r="C7" s="29" t="s">
        <v>49</v>
      </c>
      <c r="D7" s="26"/>
      <c r="E7" s="26"/>
      <c r="J7" s="4"/>
      <c r="K7" s="5"/>
      <c r="L7" s="5"/>
      <c r="M7" s="189" t="str">
        <f>IF(D7="","",IF(D7="k",0,D7))</f>
        <v/>
      </c>
      <c r="N7" s="189" t="str">
        <f t="shared" ref="N7:N14" si="0">IF(E7="","",IF(E7="k",0,E7))</f>
        <v/>
      </c>
      <c r="O7" s="135"/>
      <c r="P7" s="12"/>
      <c r="Q7" s="88"/>
      <c r="R7" s="92">
        <f>MIN(M7:N7)</f>
        <v>0</v>
      </c>
      <c r="S7" s="98" t="str">
        <f>IF(COUNT(M7:N7)=0,"",AVERAGE(M7:N7))</f>
        <v/>
      </c>
      <c r="T7" s="99">
        <f>IF(COUNT(M7:N7)&lt;2,MIN(M7:N7),(SUM(M7:N7)-MIN(M7:N7))/(COUNT(M7:N7)-1))</f>
        <v>0</v>
      </c>
      <c r="U7" s="99"/>
      <c r="V7" s="99"/>
      <c r="W7" s="99" t="str">
        <f>IF(U7="",S7,U7)</f>
        <v/>
      </c>
      <c r="X7" s="99">
        <f>IF(V7="",T7,V7)</f>
        <v>0</v>
      </c>
      <c r="Y7" s="99" t="str">
        <f>IF(OR(W7="",X7=""),"",W7-X7)</f>
        <v/>
      </c>
      <c r="Z7" s="101">
        <f>_xlfn.RANK.EQ(R7,$R$7:$R$17,1)</f>
        <v>1</v>
      </c>
      <c r="AA7" s="78">
        <f>IFERROR(IF(R7="","",R7+ROW()/100),"")</f>
        <v>7.0000000000000007E-2</v>
      </c>
      <c r="AB7" s="78" t="str">
        <f>IFERROR(IF(R7="","",IF($Q$20=0,"","")),"")</f>
        <v/>
      </c>
      <c r="AC7" s="78" t="str">
        <f>IFERROR(IF(R7="","",IF($Q$20=1,IF(OR(AA7=SMALL($AA$8:$AA$17,1),AA7=SMALL($AA$8:$AA$17,2)),R7,""),"")),"")</f>
        <v/>
      </c>
      <c r="AD7" s="78" t="str">
        <f>IFERROR(IF(R7="","",IF($Q$20=2,IF(OR(AA7=SMALL($AA$8:$AA$17,1),AA7=SMALL($AA$8:$AA$17,2),AA7=SMALL($AA$8:$AA$17,3),AA7=SMALL($AA$8:$AA$17,4)),R7,""),"")),"")</f>
        <v/>
      </c>
      <c r="AE7" s="78" t="str">
        <f>IF(W7="","",IF(W7&lt;1,0,ROUND(W7,0)))</f>
        <v/>
      </c>
      <c r="AF7" s="78" t="str">
        <f>IF(AE7="","",INDEX(Noten_tab[],MATCH(AE7,Noten_tab[Punkte],0),2))</f>
        <v/>
      </c>
      <c r="AG7" s="110" t="str">
        <f t="shared" ref="AG7:AG14" si="1">IF($C7="nein",10000+(Z7+5),"")</f>
        <v/>
      </c>
      <c r="AH7" s="31">
        <f>IF($C7="aut.",(Z7*300),"")</f>
        <v>300</v>
      </c>
      <c r="AI7" s="31" t="str">
        <f t="shared" ref="AI7:AI14" si="2">IFERROR(IF($AF$22&gt;2,IF(AND($C7="aut.",W7&lt;3.5,X7&gt;=3.5),200,IF(AND($C7="nein",W7&lt;3.5,X7&gt;=3.5),5000,IF(AND($C7="ja",W7&lt;3.5,X7&gt;=3.5),Z7,""))),
IF(AND($BC$52=390,$AF$22=2,$AF$28&lt;156),IF(AND($C7="aut.",W7&lt;3.5,X7&gt;=3.5),200,IF(AND($C7="nein",W7&lt;3.5,X7&gt;=3.5),5000,IF(AND($C7="ja",W7&lt;3.5,X7&gt;=3.5),Z7,""))),
IF(AND($BC$52=390,$AF$22=1,$AF$28&lt;130),IF(AND($C7="aut.",W7&lt;3.5,X7&gt;=3.5),200,IF(AND($C7="nein",W7&lt;3.5,X7&gt;=3.5),5000,IF(AND($C7="ja",W7&lt;3.5,X7&gt;=3.5),Z7,""))),
IF(AND($BC$52=420,$AF$22=2,$AF$28&lt;168),IF(AND($C7="aut.",W7&lt;3.5,X7&gt;=3.5),200,IF(AND($C7="nein",W7&lt;3.5,X7&gt;=3.5),5000,IF(AND($C7="ja",W7&lt;3.5,X7&gt;=3.5),Z7,""))),
IF(AND($BC$52=420,$AF$22=1,$AF$28&lt;140),IF(AND($C7="aut.",W7&lt;3.5,X7&gt;=3.5),200,IF(AND($C7="nein",W7&lt;3.5,X7&gt;=3.5),5000,IF(AND($C7="ja",W7&lt;3.5,X7&gt;=3.5),Z7,""))),""))))),"")</f>
        <v/>
      </c>
      <c r="AJ7" s="111" t="str">
        <f t="shared" ref="AJ7:AJ14" si="3">IF($C7="ja",50+Z7,"")</f>
        <v/>
      </c>
      <c r="AK7" s="108" t="str">
        <f>IF(AND(D7="",E7=""),"",MIN(AG7:AJ7))</f>
        <v/>
      </c>
      <c r="AL7" s="118" t="str">
        <f>IF(AK7="","",AK7+((15+Y7)/100)+(W7/100000)+(X7/100000000)+(ROW(AK7)/100000000000))</f>
        <v/>
      </c>
      <c r="AM7" s="110" t="str">
        <f>IF(AK7="","",IF($Q$20=0,"",""))</f>
        <v/>
      </c>
      <c r="AN7" s="78" t="str">
        <f>IF(AK7="","",IF($Q$20=1,IF(AL7=SMALL($AL$7:$AL$17,1),1,IF(AL7=SMALL($AL$7:$AL$17,2),2,"")),""))</f>
        <v/>
      </c>
      <c r="AO7" s="111" t="str">
        <f>IF(AK7="","",IF($Q$20=2,IF(AL7=SMALL($AL$7:$AL$17,1),1,IF(AL7=SMALL($AL$7:$AL$17,2),2,IF(AL7=SMALL($AL$7:$AL$17,3),3,IF(AL7=SMALL($AL$7:$AL$17,4),4,"")))),""))</f>
        <v/>
      </c>
      <c r="AP7" s="92" t="str">
        <f t="shared" ref="AP7:AP17" si="4">IF(MAX(AM7:AO7)=0,"",MAX(AM7:AO7))</f>
        <v/>
      </c>
      <c r="AQ7" s="108" t="str">
        <f>IF(D7="","",_xlfn.RANK.EQ(M7,$M7:$N7,1)+COLUMN(D7)/100)</f>
        <v/>
      </c>
      <c r="AR7" s="109" t="str">
        <f>IF(E7="","",_xlfn.RANK.EQ(N7,$M7:$N7,1)+COLUMN(E7)/100)</f>
        <v/>
      </c>
      <c r="AS7" s="91" t="str">
        <f>IF($BE$22&gt;16,"ja","nein")</f>
        <v>ja</v>
      </c>
      <c r="AT7" s="108" t="str">
        <f>IF(AS7="nein","",IF($AP7="","",IF(AQ7=MIN($AQ7:$AR7),"aus","")))</f>
        <v/>
      </c>
      <c r="AU7" s="109" t="str">
        <f>IF(AS7="nein","",IF($AP7="","",IF(AR7=MIN($AQ7:$AR7),"aus","")))</f>
        <v/>
      </c>
      <c r="AV7" s="77"/>
      <c r="AW7" s="110" t="str">
        <f>IF(LEFT(BC7,1)="(","",BC7)</f>
        <v/>
      </c>
      <c r="AX7" s="78" t="str">
        <f>IF(LEFT(BD7,1)="(","",BD7)</f>
        <v/>
      </c>
      <c r="AY7" s="78">
        <f t="shared" ref="AY7:AY14" si="5">SUM(AW7:AX7)</f>
        <v>0</v>
      </c>
      <c r="AZ7" s="111">
        <f t="shared" ref="AZ7:AZ14" si="6">COUNT(AW7:AX7)</f>
        <v>0</v>
      </c>
      <c r="BA7" s="77"/>
      <c r="BB7" s="11" t="str">
        <f t="shared" ref="BB7:BB17" si="7">B7</f>
        <v>Religionslehre</v>
      </c>
      <c r="BC7" s="22" t="str">
        <f t="shared" ref="BC7:BD14" si="8">IF($B$20="Bitte klicken zum Auswählen","",IF(D7="","",IF(AT7="aus",CONCATENATE("( ",D7," )"),D7)))</f>
        <v/>
      </c>
      <c r="BD7" s="22" t="str">
        <f t="shared" si="8"/>
        <v/>
      </c>
      <c r="BE7" s="10"/>
      <c r="BF7" s="20"/>
      <c r="BG7" s="136"/>
      <c r="BH7" s="310" t="str">
        <f>IF(AZ7=0,"",ROUND((AY7/AZ7),2))</f>
        <v/>
      </c>
      <c r="BI7" s="310"/>
      <c r="BJ7" s="311" t="str">
        <f>IF(BH7="","",IF(BH7&lt;1,0,ROUND(BH7,0)))</f>
        <v/>
      </c>
      <c r="BK7" s="311"/>
      <c r="BL7" s="168" t="str">
        <f>IF(BH7="","",INDEX(Noten_tab[],MATCH(BJ7,Noten_tab[Punkte],0),2))</f>
        <v/>
      </c>
      <c r="BM7" s="5" t="str">
        <f t="shared" ref="BM7:BM16" si="9">IF(BJ7="","",IF(BJ7=0,2,IF(BJ7&lt;4,1,0)))</f>
        <v/>
      </c>
      <c r="BN7" s="78"/>
      <c r="BO7" s="10"/>
      <c r="BP7" s="143">
        <f t="shared" ref="BP7:BP12" si="10">MIN(M7:N7)</f>
        <v>0</v>
      </c>
      <c r="BQ7" s="99" t="str">
        <f>IF(COUNT(M7:N7)=0,"",AVERAGE(M7:N7))</f>
        <v/>
      </c>
      <c r="BR7" s="99">
        <f>IF(COUNT(M7:N7)&lt;2,MIN(M7:N7),(SUM(M7:N7)-MIN(M7:N7))/(COUNT(M7:N7)-1))</f>
        <v>0</v>
      </c>
      <c r="BS7" s="99"/>
      <c r="BT7" s="99"/>
      <c r="BU7" s="99" t="str">
        <f>IF(BS7="",BQ7,BS7)</f>
        <v/>
      </c>
      <c r="BV7" s="99">
        <f>IF(BT7="",BR7,BT7)</f>
        <v>0</v>
      </c>
      <c r="BW7" s="99" t="str">
        <f>IF(OR(BU7="",BV7=""),"",BU7-BV7)</f>
        <v/>
      </c>
      <c r="BX7" s="101">
        <f>_xlfn.RANK.EQ(BP7,$BP$7:$BP$17,1)</f>
        <v>1</v>
      </c>
      <c r="BY7" s="110" t="str">
        <f t="shared" ref="BY7:BY14" si="11">IF($C7="nein",10000+(BX7+5),"")</f>
        <v/>
      </c>
      <c r="BZ7" s="31">
        <f>IF($C7="aut.",(BX7*300),"")</f>
        <v>300</v>
      </c>
      <c r="CA7" s="31" t="str">
        <f t="shared" ref="CA7:CA14" si="12">IFERROR(IF($AF$22&gt;2,IF(AND($C7="aut.",BU7&lt;3.5,BV7&gt;=3.5),200,IF(AND($C7="nein",BU7&lt;3.5,BV7&gt;=3.5),5000,IF(AND($C7="ja",BU7&lt;3.5,BV7&gt;=3.5),BX7,""))),
IF(AND($BC$52=390,$AF$22=2,$AF$28&lt;156),IF(AND($C7="aut.",BU7&lt;3.5,BV7&gt;=3.5),200,IF(AND($C7="nein",BU7&lt;3.5,BV7&gt;=3.5),5000,IF(AND($C7="ja",BU7&lt;3.5,BV7&gt;=3.5),BX7,""))),
IF(AND($BC$52=390,$AF$22=1,$AF$28&lt;130),IF(AND($C7="aut.",BU7&lt;3.5,BV7&gt;=3.5),200,IF(AND($C7="nein",BU7&lt;3.5,BV7&gt;=3.5),5000,IF(AND($C7="ja",BU7&lt;3.5,BV7&gt;=3.5),BX7,""))),
IF(AND($BC$52=420,$AF$22=2,$AF$28&lt;168),IF(AND($C7="aut.",BU7&lt;3.5,BV7&gt;=3.5),200,IF(AND($C7="nein",BU7&lt;3.5,BV7&gt;=3.5),5000,IF(AND($C7="ja",BU7&lt;3.5,BV7&gt;=3.5),BX7,""))),
IF(AND($BC$52=420,$AF$22=1,$AF$28&lt;140),IF(AND($C7="aut.",BU7&lt;3.5,BV7&gt;=3.5),200,IF(AND($C7="nein",BU7&lt;3.5,BV7&gt;=3.5),5000,IF(AND($C7="ja",BU7&lt;3.5,BV7&gt;=3.5),BX7,""))),""))))),"")</f>
        <v/>
      </c>
      <c r="CB7" s="111" t="str">
        <f t="shared" ref="CB7:CB14" si="13">IF($C7="ja",50+BX7,"")</f>
        <v/>
      </c>
      <c r="CC7" s="108" t="str">
        <f t="shared" ref="CC7:CC14" si="14">IF(AND(D7="",E7=""),"",MIN(BY7:CB7))</f>
        <v/>
      </c>
      <c r="CD7" s="118" t="str">
        <f>IF(CC7="","",CC7+((15+BW7)/100)+(BU7/100000)+(BV7/100000000)+(ROW(CC7)/100000000000))</f>
        <v/>
      </c>
      <c r="CE7" s="110" t="str">
        <f>IF(CC7="","",IF($Q$20=0,"",""))</f>
        <v/>
      </c>
      <c r="CF7" s="78" t="str">
        <f t="shared" ref="CF7:CF14" si="15">IF(CC7="","",IF($Q$20=1,IF(CD7=SMALL($CD$7:$CD$17,1),1,IF(CD7=SMALL($CD$7:$CD$17,2),2,"")),""))</f>
        <v/>
      </c>
      <c r="CG7" s="111" t="str">
        <f t="shared" ref="CG7:CG14" si="16">IF(CC7="","",IF($Q$20=2,IF(CD7=SMALL($CD$7:$CD$17,1),1,IF(CD7=SMALL($CD$7:$CD$17,2),2,IF(CD7=SMALL($CD$7:$CD$17,3),3,IF(CD7=SMALL($CD$7:$CD$17,4),4,"")))),""))</f>
        <v/>
      </c>
      <c r="CH7" s="92" t="str">
        <f t="shared" ref="CH7:CH14" si="17">IF(MAX(CE7:CG7)=0,"",MAX(CE7:CG7))</f>
        <v/>
      </c>
      <c r="CI7" s="108" t="str">
        <f t="shared" ref="CI7:CJ14" si="18">IF(D7="","",_xlfn.RANK.EQ(M7,$M7:$N7,1)+COLUMN(D7)/100)</f>
        <v/>
      </c>
      <c r="CJ7" s="109" t="str">
        <f t="shared" si="18"/>
        <v/>
      </c>
      <c r="CK7" s="91" t="str">
        <f>IF($CW$22&gt;16,"ja","nein")</f>
        <v>ja</v>
      </c>
      <c r="CL7" s="108" t="str">
        <f>IF(CK7="nein","",IF($CH7="","",IF(CI7=MIN($CI7:$CJ7),"aus","")))</f>
        <v/>
      </c>
      <c r="CM7" s="109" t="str">
        <f>IF(CK7="nein","",IF($CH7="","",IF(CJ7=MIN($CI7:$CJ7),"aus","")))</f>
        <v/>
      </c>
      <c r="CN7" s="77"/>
      <c r="CO7" s="110" t="str">
        <f t="shared" ref="CO7:CP14" si="19">IF(LEFT(CU7,1)="(","",CU7)</f>
        <v/>
      </c>
      <c r="CP7" s="78" t="str">
        <f t="shared" si="19"/>
        <v/>
      </c>
      <c r="CQ7" s="78">
        <f t="shared" ref="CQ7:CQ14" si="20">SUM(CO7:CP7)</f>
        <v>0</v>
      </c>
      <c r="CR7" s="111">
        <f t="shared" ref="CR7:CR14" si="21">COUNT(CO7:CP7)</f>
        <v>0</v>
      </c>
      <c r="CT7" s="84" t="str">
        <f>IF(OR($B$20="Fachgebundene Hochschulreife",AND($B$20="Allgemeine Hochschulreife",$B$22="Ausgewiesenes Sprachniveau B1 durch andere Schule")),"",B7)</f>
        <v>Religionslehre</v>
      </c>
      <c r="CU7" s="22" t="str">
        <f t="shared" ref="CU7:CV14" si="22">IF(AND($B$20="Allgemeine Hochschulreife",$B$22="Bitte klicken zum Auswählen"),"",IF(AND($B$20="Allgemeine Hochschulreife",$B$22&lt;&gt;"Ausgewiesenes Sprachniveau B1 durch andere Schule"),IF(D7="","",IF(CL7="aus",CONCATENATE("( ",D7," )"),D7)),""))</f>
        <v/>
      </c>
      <c r="CV7" s="22" t="str">
        <f t="shared" si="22"/>
        <v/>
      </c>
      <c r="CW7" s="10"/>
      <c r="CX7" s="20"/>
      <c r="CY7" s="134"/>
      <c r="CZ7" s="310" t="str">
        <f>IF(CR7=0,"",ROUND((CQ7/CR7),2))</f>
        <v/>
      </c>
      <c r="DA7" s="310"/>
      <c r="DB7" s="311" t="str">
        <f>IF(CZ7="","",IF(CZ7&lt;1,0,ROUND(CZ7,0)))</f>
        <v/>
      </c>
      <c r="DC7" s="311"/>
      <c r="DD7" s="168" t="str">
        <f>IF(CZ7="","",INDEX(Noten_tab[],MATCH(DB7,Noten_tab[Punkte],0),2))</f>
        <v/>
      </c>
      <c r="DE7" s="5" t="str">
        <f t="shared" ref="DE7:DE17" si="23">IF(DB7="","",IF(DB7=0,2,IF(DB7&lt;4,1,0)))</f>
        <v/>
      </c>
      <c r="DH7" s="110" t="str">
        <f t="shared" ref="DH7:DI14" si="24">IF(W7="","",IF(W7&lt;1,0,ROUND(W7,0)))</f>
        <v/>
      </c>
      <c r="DI7" s="5">
        <f t="shared" si="24"/>
        <v>0</v>
      </c>
      <c r="DJ7" s="5" t="str">
        <f>IF(DH7="","",INDEX(Noten_tab[],MATCH(DH7,Noten_tab[Punkte],0),3))</f>
        <v/>
      </c>
      <c r="DK7" s="5">
        <f>IF(DI7="","",INDEX(Noten_tab[],MATCH(DI7,Noten_tab[Punkte],0),3))</f>
        <v>6</v>
      </c>
      <c r="DL7" s="75" t="str">
        <f t="shared" ref="DL7:DL14" si="25">IF(OR(AT7="aus",AU7="aus"),"",IF(DJ7&gt;DK7,"Verbesserung",""))</f>
        <v>Verbesserung</v>
      </c>
      <c r="DM7" s="5" t="str">
        <f>IFERROR(IF(DL7="","",DJ7-DK7),"")</f>
        <v/>
      </c>
      <c r="DN7" s="75" t="str">
        <f t="shared" ref="DN7:DN14" si="26">IF(OR(AT7="aus",AU7="aus"),IF(DJ7&lt;=DK7,"keine Verschlechterung",""),"")</f>
        <v/>
      </c>
      <c r="DO7" s="5">
        <f t="shared" ref="DO7:DO14" si="27">IF(R7="","",IF(AND(DL7="",DN7=""),"",R7))</f>
        <v>0</v>
      </c>
      <c r="DP7" s="5" t="str">
        <f>IFERROR(IF(DO7="","",$BE$27-INDEX(Schnitt_von_bis_390_tab[],MATCH($BE$28,Schnitt_von_bis_390_tab[Schnitt],0),3)),"")</f>
        <v/>
      </c>
      <c r="DQ7" s="190" t="str">
        <f>IF(DM7="","",_xlfn.RANK.EQ(DM7,$DM$7:$DM$17)+DO7/100+DK7/1000+(ROW(DM7)/10000000))</f>
        <v/>
      </c>
      <c r="DR7" s="191" t="str">
        <f>IF(DN7="","",_xlfn.RANK.EQ(DO7,$DO$7:$DO$17)+DJ7/10+(ROW(DO7)/10000000))</f>
        <v/>
      </c>
      <c r="DS7" s="192" t="str">
        <f>IFERROR(IF(DO7="","",IF($BM$18=1,1,IF($BM$18=2,2,""))),"")</f>
        <v/>
      </c>
      <c r="DT7" s="78">
        <f>IFERROR(IF(DO7="","",IF(AND($BC$52=390,DS7=1),130,IF(AND($BC$52=390,DS7=2),156,0))),"")</f>
        <v>0</v>
      </c>
      <c r="DU7" s="193" t="str">
        <f>IFERROR(IF(DO7="","",$BE$27-DT7),"")</f>
        <v/>
      </c>
      <c r="DV7" s="194">
        <f>IFERROR(IF(DO7="","",MIN(DP7,DU7)),"")</f>
        <v>0</v>
      </c>
      <c r="DW7" s="5" t="str">
        <f>IFERROR(IF(COUNT($DM$7:$DM$17)&lt;1,"",IF(DQ7="","",IF(DQ7=SMALL($DQ$7:$DQ$17,1),DO7,""))),"")</f>
        <v/>
      </c>
      <c r="DX7" s="5" t="str">
        <f>IFERROR(IF(COUNT($DM$7:$DM$17)&lt;1,"",IF(DR7="","",IF(DR7=SMALL($DR$7:$DR$17,1),DO7,""))),"")</f>
        <v/>
      </c>
      <c r="DY7" s="192" t="str">
        <f>IFERROR(IF(COUNT($DM$7:$DM$17)&lt;2,"",IF(DQ7="","",IF(DQ7=SMALL($DQ$7:$DQ$17,2),DO7,""))),"")</f>
        <v/>
      </c>
      <c r="DZ7" s="5" t="str">
        <f>IFERROR(IF(COUNT($DM$7:$DM$17)&lt;2,"",IF(DR7="","",IF(DR7=SMALL($DR$7:$DR$17,2),DO7,""))),"")</f>
        <v/>
      </c>
      <c r="EA7" s="192" t="str">
        <f>IFERROR(IF(COUNT($DM$7:$DM$17)&lt;3,"",IF(DQ7="","",IF(DQ7=SMALL($DQ$7:$DQ$17,3),DO7,""))),"")</f>
        <v/>
      </c>
      <c r="EB7" s="5" t="str">
        <f>IFERROR(IF(COUNT($DM$7:$DM$17)&lt;3,"",IF(DR7="","",IF(DR7=SMALL($DR$7:$DR$17,3),DO7,""))),"")</f>
        <v/>
      </c>
      <c r="EC7" s="192" t="str">
        <f>IFERROR(IF(COUNT($DM$7:$DM$17)&lt;4,"",IF(DQ7="","",IF(DQ7=SMALL($DQ$7:$DQ$17,4),DO7,""))),"")</f>
        <v/>
      </c>
      <c r="ED7" s="5" t="str">
        <f>IFERROR(IF(COUNT($DM$7:$DM$17)&lt;4,"",IF(DR7="","",IF(DR7=SMALL($DR$7:$DR$17,4),DO7,""))),"")</f>
        <v/>
      </c>
      <c r="EE7" s="192" t="str">
        <f>IFERROR(IF(COUNT($DM$7:$DM$17)&lt;5,"",IF(DQ7="","",IF(DQ7=SMALL($DQ$7:$DQ$17,5),DO7,""))),"")</f>
        <v/>
      </c>
      <c r="EF7" s="111" t="str">
        <f>IFERROR(IF(COUNT($DM$7:$DM$17)&lt;5,"",IF(DR7="","",IF(DR7=SMALL($DR$7:$DR$17,5),DO7,""))),"")</f>
        <v/>
      </c>
      <c r="EG7" s="78" t="str">
        <f>IFERROR(IF(COUNT($DW$7:$DW$17,$DX$7:$DX$17)&lt;&gt;2,"",
(IF(AND(DW7="",DX7=""),"",
IF($DV7&lt;(SMALL($DW$7:$DW$17,1)-SMALL($DX$7:$DX$17,1)),"",
(SMALL($DW$7:$DW$17,1)-SMALL($DX$7:$DX$17,1)))))),"")</f>
        <v/>
      </c>
      <c r="EH7" s="5" t="str">
        <f>IFERROR(IF(COUNT($DW$7:$DW$17,$DZ$7:$DZ$17)&lt;&gt;2,"",
IF(AND(DW7="",DZ7=""),"",
IF(COUNT($EG$7:$EG$17)&gt;0,"",
IF($DV7&lt;(SMALL($DW$7:$DW$17,1)-SMALL($DZ$7:$DZ$17,1)),"",
(SMALL($DW$7:$DW$17,1)-SMALL($DZ$7:$DZ$17,1)))))),"")</f>
        <v/>
      </c>
      <c r="EI7" s="5" t="str">
        <f>IFERROR(IF(COUNT($DW$7:$DW$17,$EB$7:$EB$17)&lt;&gt;2,"",
IF(AND(DW7="",EB7=""),"",
IF(COUNT($EG$7:$EH$17)&gt;0,"",
IF($DV7&lt;(SMALL($DW$7:$DW$17,1)-SMALL($EB$7:$EB$17,1)),"",
(SMALL($DW$7:$DW$17,1)-SMALL($EB$7:$EB$17,1)))))),"")</f>
        <v/>
      </c>
      <c r="EJ7" s="5" t="str">
        <f>IFERROR(IF(COUNT($DW$7:$DW$17,$ED$7:$ED$17)&lt;&gt;2,"",
IF(AND(DW7="",ED7=""),"",
IF(COUNT($EG$7:$EI$17)&gt;0,"",
IF($DV7&lt;(SMALL($DW$7:$DW$17,1)-SMALL($ED$7:$ED$17,1)),"",
(SMALL($DW$7:$DW$17,1)-SMALL($ED$7:$ED$17,1)))))),"")</f>
        <v/>
      </c>
      <c r="EK7" s="5" t="str">
        <f>IFERROR(IF(COUNT($DW$7:$DW$17,$EF$7:$EF$17)&lt;&gt;2,"",
IF(AND(DW7="",EF7=""),"",
IF(COUNT($EG$7:$EJ$17)&gt;0,"",
IF($DV7&lt;(SMALL($DW$7:$DW$17,1)-SMALL($EF$7:$EF$17,1)),"",
(SMALL($DW$7:$DW$17,1)-SMALL($EF$7:$EF$17,1)))))),"")</f>
        <v/>
      </c>
      <c r="EL7" s="192" t="str">
        <f>IFERROR(IF(COUNT($DY$7:$DY$17,$DX$7:$DX$17)&lt;&gt;2,"",
IF(AND(DY7="",DX7=""),"",
IF(COUNT($EG$7:$EG$17)&gt;0,"",
IF($DV7&lt;(SMALL($DY$7:$DY$17,1)-SMALL($DX$7:$DX$17,1)),"",
(SMALL($DY$7:$DY$17,1)-SMALL($DX$7:$DX$17,1)))))),"")</f>
        <v/>
      </c>
      <c r="EM7" s="78" t="str">
        <f>IFERROR(IF(COUNT($DY$7:$DY$17,$DZ$7:$DZ$17)&lt;&gt;2,"",
IF(AND(DY7="",DZ7=""),"",
IF(COUNT($EH$7:$EH$17)&gt;0,"",
IF(COUNT($EL$7:$EL$17)&gt;0,"",
IF($DV7&lt;(SMALL($DY$7:$DY$17,1)-SMALL($DZ$7:$DZ$17,1)),"",
(SMALL($DY$7:$DY$17,1)-SMALL($DZ$7:$DZ$17,1))))))),"")</f>
        <v/>
      </c>
      <c r="EN7" s="78" t="str">
        <f>IFERROR(IF(COUNT($DY$7:$DY$17,$EB$7:$EB$17)&lt;&gt;2,"",
IF(AND(DY7="",EB7=""),"",
IF(COUNT($EI$7:$EI$17)&gt;0,"",
IF(COUNT($EL$7:$EM$17)&gt;0,"",
IF($DV7&lt;(SMALL($DY$7:$DY$17,1)-SMALL($EB$7:$EB$17,1)),"",
(SMALL($DY$7:$DY$17,1)-SMALL($EB$7:$EB$17,1))))))),"")</f>
        <v/>
      </c>
      <c r="EO7" s="78" t="str">
        <f>IFERROR(IF(COUNT($DY$7:$DY$17,$ED$7:$ED$17)&lt;&gt;2,"",
IF(AND(DY7="",ED7=""),"",
IF(COUNT($EJ$7:$EJ$17)&gt;0,"",
IF(COUNT($EL$7:$EN$17)&gt;0,"",
IF($DV7&lt;(SMALL($DY$7:$DY$17,1)-SMALL($ED$7:$ED$17,1)),"",
(SMALL($DY$7:$DY$17,1)-SMALL($ED$7:$ED$17,1))))))),"")</f>
        <v/>
      </c>
      <c r="EP7" s="193" t="str">
        <f>IFERROR(IF(COUNT($DY$7:$DY$17,$EF$7:$EF$17)&lt;&gt;2,"",
IF(AND(DY7="",EF7=""),"",
IF(COUNT($EK$7:$EK$17)&gt;0,"",
IF(COUNT($EL$7:$EO$17)&gt;0,"",
IF($DV7&lt;(SMALL($DY$7:$DY$17,1)-SMALL($EF$7:$EF$17,1)),"",
(SMALL($DY$7:$DY$17,1)-SMALL($EF$7:$EF$17,1))))))),"")</f>
        <v/>
      </c>
      <c r="EQ7" s="5" t="str">
        <f>IFERROR(IF(COUNT($EA$7:$EA$17,$DX$7:$DX$17)&lt;&gt;2,"",
IF(AND(EA7="",DX7=""),"",
IF(COUNT($EG$7:$EG$17,$EL$7:$EL$17)&gt;0,"",
IF($DV7&lt;(SMALL($EA$7:$EA$17,1)-SMALL($DX$7:$DX$17,1)),"",
(SMALL($EA$7:$EA$17,1)-SMALL($DX$7:$DX$17,1)))))),"")</f>
        <v/>
      </c>
      <c r="ER7" s="5" t="str">
        <f>IFERROR(IF(COUNT($EA$7:$EA$17,$DZ$7:$DZ$17)&lt;&gt;2,"",
IF(AND(EA7="",DZ7=""),"",
IF(COUNT($EH$7:$EH$17,$EM$7:$EM$17)&gt;0,"",
IF(COUNT($EQ$7:$EQ$17)&gt;0,"",
IF($DV7&lt;(SMALL($EA$7:$EA$17,1)-SMALL($DZ$7:$DZ$17,1)),"",
(SMALL($EA$7:$EA$17,1)-SMALL($DZ$7:$DZ$17,1))))))),"")</f>
        <v/>
      </c>
      <c r="ES7" s="5" t="str">
        <f>IFERROR(IF(COUNT($EA$7:$EA$17,$EB$7:$EB$17)&lt;&gt;2,"",
IF(AND(EA7="",EB7=""),"",
IF(COUNT($EI$7:$EI$17,$EN$7:$EN$17)&gt;0,"",
IF(COUNT($EQ$7:$ER$17)&gt;0,"",
IF($DV7&lt;(SMALL($EA$7:$EA$17,1)-SMALL($EB$7:$EB$17,1)),"",
(SMALL($EA$7:$EA$17,1)-SMALL($EB$7:$EB$17,1))))))),"")</f>
        <v/>
      </c>
      <c r="ET7" s="5" t="str">
        <f>IFERROR(IF(COUNT($EA$7:$EA$17,$ED$7:$ED$17)&lt;&gt;2,"",
IF(AND(EA7="",ED7=""),"",
IF(COUNT($EJ$7:$EJ$17,$EO$7:$EO$17)&gt;0,"",
IF(COUNT($EQ$7:$ES$17)&gt;0,"",
IF($DV7&lt;(SMALL($EA$7:$EA$17,1)-SMALL($ED$7:$ED$17,1)),"",
(SMALL($EA$7:$EA$17,1)-SMALL($ED$7:$ED$17,1))))))),"")</f>
        <v/>
      </c>
      <c r="EU7" s="5" t="str">
        <f>IFERROR(IF(COUNT($EA$7:$EA$17,$EF$7:$EF$17)&lt;&gt;2,"",
IF(AND(EA7="",EF7=""),"",
IF(COUNT($EK$7:$EK$17,$EP$7:$EP$17)&gt;0,"",
IF(COUNT($EQ$7:$ET$17)&gt;0,"",
IF($DV7&lt;(SMALL($EA$7:$EA$17,1)-SMALL($EF$7:$EF$17,1)),"",
(SMALL($EA$7:$EA$17,1)-SMALL($EF$7:$EF$17,1))))))),"")</f>
        <v/>
      </c>
      <c r="EV7" s="192" t="str">
        <f>IFERROR(IF(COUNT($EC$7:$EC$17,$DX$7:$DX$17)&lt;&gt;2,"",
IF(AND(EC7="",DX7=""),"",
IF(COUNT($EG$7:$EG$17,$EL$7:$EL$17,$EQ$7:$EQ$17)&gt;0,"",
IF($DV7&lt;(SMALL($EC$7:$EC$17,1)-SMALL($DX$7:$DX$17,1)),"",
(SMALL($EC$7:$EC$17,1)-SMALL($DX$7:$DX$17,1)))))),"")</f>
        <v/>
      </c>
      <c r="EW7" s="78" t="str">
        <f>IFERROR(IF(COUNT($EC$7:$EC$17,$DZ$7:$DZ$17)&lt;&gt;2,"",
IF(AND(EC7="",DZ7=""),"",
IF(COUNT($EH$7:$EH$17,$EM$7:$EM$17,$ER$7:$ER$17)&gt;0,"",
IF(COUNT($EV$7:$EV$17)&gt;0,"",
IF($DV7&lt;(SMALL($EC$7:$EC$17,1)-SMALL($DZ$7:$DZ$17,1)),"",
(SMALL($EC$7:$EC$17,1)-SMALL($DZ$7:$DZ$17,1))))))),"")</f>
        <v/>
      </c>
      <c r="EX7" s="78" t="str">
        <f>IFERROR(IF(COUNT($EC$7:$EC$17,$EB$7:$EB$17)&lt;&gt;2,"",
IF(AND(EC7="",EB7=""),"",
IF(COUNT($EI$7:$EI$17,$EN$7:$EN$17,$ES$7:$ES$17)&gt;0,"",
IF(COUNT($EV$7:$EW$17)&gt;0,"",
IF($DV7&lt;(SMALL($EC$7:$EC$17,1)-SMALL($EB$7:$EB$17,1)),"",
(SMALL($EC$7:$EC$17,1)-SMALL($EB$7:$EB$17,1))))))),"")</f>
        <v/>
      </c>
      <c r="EY7" s="78" t="str">
        <f>IFERROR(IF(COUNT($EC$7:$EC$17,$ED$7:$ED$17)&lt;&gt;2,"",
IF(AND(EC7="",ED7=""),"",
IF(COUNT($EJ$7:$EJ$17,$EO$7:$EO$17,$ET$7:$ET$17)&gt;0,"",
IF(COUNT($EV$7:$EX$17)&gt;0,"",
IF($DV7&lt;(SMALL($EC$7:$EC$17,1)-SMALL($ED$7:$ED$17,1)),"",
(SMALL($EC$7:$EC$17,1)-SMALL($ED$7:$ED$17,1))))))),"")</f>
        <v/>
      </c>
      <c r="EZ7" s="193" t="str">
        <f>IFERROR(IF(COUNT($EC$7:$EC$17,$EF$7:$EF$17)&lt;&gt;2,"",
IF(AND(EC7="",EF7=""),"",
IF(COUNT($EK$7:$EK$17,$EP$7:$EP$17,$EU$7:$EU$17)&gt;0,"",
IF(COUNT($EV$7:$EY$17)&gt;0,"",
IF($DV7&lt;(SMALL($EC$7:$EC$17,1)-SMALL($EF$7:$EF$17,1)),"",
(SMALL($EC$7:$EC$17,1)-SMALL($EF$7:$EF$17,1))))))),"")</f>
        <v/>
      </c>
      <c r="FA7" s="195" t="str">
        <f>IFERROR(IF(COUNT($EE$7:$EE$17,$DX$7:$DX$17)&lt;&gt;2,"",
IF(AND(EE7="",DK7=""),"",
IF(COUNT($EG$7:$EG$17,$EL$7:$EL$17,$EQ$7:$EQ$17,$EV$7:$EV$17)&gt;0,"",
IF($DV7&lt;(SMALL($EE$7:$EE$17,1)-SMALL($DX$7:$DX$17,1)),"",
(SMALL($EE$7:$EE$17,1)-SMALL($DX$7:$DX$17,1)))))),"")</f>
        <v/>
      </c>
      <c r="FB7" s="5" t="str">
        <f>IFERROR(IF(COUNT($EE$7:$EE$17,$DZ$7:$DZ$17)&lt;&gt;2,"",
IF(AND(DZ7="",EE7=""),"",
IF(COUNT($EH$7:$EH$17,$EM$7:$EM$17,$ER$7:$ER$17,$EW$7:$EW$17)&gt;0,"",
IF(COUNT($FA$7:$FA$17)&gt;0,"",
IF($DV7&lt;(SMALL($EE$7:$EE$17,1)-SMALL($DZ$7:$DZ$17,1)),"",
(SMALL($EE$7:$EE$17,1)-SMALL($DZ$7:$DZ$17,1))))))),"")</f>
        <v/>
      </c>
      <c r="FC7" s="5" t="str">
        <f>IFERROR(IF(COUNT($EE$7:$EE$17,$EB$7:$EB$17)&lt;&gt;2,"",
IF(AND(EE7="",EB7=""),"",
IF(COUNT($EH$7:$EH$17,$EM$7:$EM$17,$ER$7:$ER$17,$EW$7:$EW$17)&gt;0,"",
IF(COUNT($FA$7:$FB$17)&gt;0,"",
IF($DV7&lt;(SMALL($EE$7:$EE$17,1)-SMALL($EB$7:$EB$17,1)),"",
(SMALL($EE$7:$EE$17,1)-SMALL($EB$7:$EB$17,1))))))),"")</f>
        <v/>
      </c>
      <c r="FD7" s="5" t="str">
        <f>IFERROR(IF(COUNT($EE$7:$EE$17,$ED$7:$ED$17)&lt;&gt;2,"",
IF(AND(EE7="",ED7=""),"",
IF(COUNT($EJ$7:$EJ$17,$EO$7:$EO$17,$ET$7:$ET$17,$EY$7:$EY$17)&gt;0,"",
IF(COUNT($FA$7:$FC$17)&gt;0,"",
IF($DV7&lt;(SMALL($EE$7:$EE$17,1)-SMALL($ED$7:$ED$17,1)),"",
(SMALL($EE$7:$EE$17,1)-SMALL($ED$7:$ED$17,1))))))),"")</f>
        <v/>
      </c>
      <c r="FE7" s="5" t="str">
        <f>IFERROR(IF(COUNT($EE$7:$EE$17,$EF$7:$EF$17)&lt;&gt;2,"",
IF(AND(EE7="",EF7=""),"",
IF(COUNT($EK$7:$EK$17,$EP$7:$EP$17,$EU$7:$EU$17,$EZ$7:$EZ$17)&gt;0,"",
IF(COUNT($FA$7:$FD$17)&gt;0,"",
IF($DV7&lt;(SMALL($EE$7:$EE$17,1)-SMALL($EF$7:$EF$17,1)),"",
(SMALL($EE$7:$EE$17,1)-SMALL($EF$7:$EF$17,1))))))),"")</f>
        <v/>
      </c>
      <c r="FF7" s="108" t="str">
        <f>IFERROR(IF(COUNT(EG7:EK7)=0,"",MAX(EG7:EK7)),"")</f>
        <v/>
      </c>
      <c r="FG7" s="75" t="str">
        <f>IFERROR(IF(COUNT(EL7:EP7)=0,"",MAX(EL7:EP7)),"")</f>
        <v/>
      </c>
      <c r="FH7" s="75" t="str">
        <f>IFERROR(IF(COUNT(EQ7:EU7)=0,"",MAX(EQ7:EU7)),"")</f>
        <v/>
      </c>
      <c r="FI7" s="75" t="str">
        <f>IFERROR(IF(COUNT(EV7:EZ7)=0,"",MAX(EV7:EZ7)),"")</f>
        <v/>
      </c>
      <c r="FJ7" s="77" t="str">
        <f>IFERROR(IF(COUNT(FA7:FE7)=0,"",MAX(FA7:FE7)),"")</f>
        <v/>
      </c>
      <c r="FK7" s="108" t="str">
        <f>IFERROR(IF(DO7="","",IF(COUNT(FF7)=1,"vorschlagen","")),"")</f>
        <v/>
      </c>
      <c r="FL7" s="75" t="str">
        <f>IFERROR(IF(DO7="","",
IF(COUNT(FG7)=0,"",
IF(DV7="","",
IF(COUNTIF($FK$7:$FK$17,"vorschlagen")=2,
IF(DV7-SMALL($FF$7:$FF$17,1)-SMALL($FG$7:$FG$17,1)&gt;=0,"vorschlagen",
IF(COUNTIF($FK$7:$FK$17,"vorschlagen")=0,
IF(DV7-SMALL($FG$7:$FG$17,1)&gt;=0,"vorschlagen",""),"")),"")))),"")</f>
        <v/>
      </c>
      <c r="FM7" s="75" t="str">
        <f>IFERROR(IF(DO7="","",
IF(COUNT(FH7)=0,"",
IF(DV7="","",
IF(AND(COUNTIF($FK$7:$FK$17,"vorschlagen")=2,COUNTIF($FL$7:$FL$17,"vorschlagen")=2),
IF(DV7-SMALL($FF$7:$FF$17,1)-SMALL($FG$7:$FG$17,1)-SMALL($FH$7:$FH$17,1)&gt;=0,"vorschlagen",
IF(AND(COUNTIF($FK$7:$FK$17,"vorschlagen")=2,COUNTIF($FL$7:$FL$17,"vorschlagen")=0),
IF(DV7-SMALL($FF$7:$FF$17,1)-SMALL($FH$7:$FH$17,1)&gt;=0,"vorschlagen",""),"")),"")))),"")</f>
        <v/>
      </c>
      <c r="FN7" s="75" t="str">
        <f>IFERROR(IF(DO7="","",
IF(COUNT(FI7)=0,"",
IF(DV7="","",
IF(AND(COUNTIF($FK$7:$FK$17,"vorschlagen")=2,COUNTIF($FL$7:$FL$17,"vorschlagen")=2,COUNTIF($FM$7:$FM$17,"vorschlagen")=2),
IF(DV7-SMALL($FF$7:$FF$17,1)-SMALL($FG$7:$FG$17,1)-SMALL($FH$7:$FH$17,1)-SMALL($FI$7:$FI$17,1)&gt;=0,"vorschlagen",
IF(AND(COUNTIF($FK$7:$FK$17,"vorschlagen")=2,COUNTIF($FL$7:$FL$17,"vorschlagen")=2,COUNTIF($FM$7:$FM$17,"vorschlagen")=0),
IF(DV7-SMALL($FF$7:$FF$17,1)-SMALL($FG$7:$FG$17,1)-SMALL($FI$7:$FI$17,1)&gt;=0,"vorschlagen",
IF(AND(COUNTIF($FK$7:$FK$17,"vorschlagen")=2,COUNTIF($FL$7:$FL$17,"vorschlagen")=0,COUNTIF($FM$7:$FM$17,"vorschlagen")=2),
IF(DV7-SMALL($FF$7:$FF$17,1)-SMALL($FH$7:$FH$17,1)-SMALL($FI$7:$FI$17,1)&gt;=0,"vorschlagen",
IF(AND(COUNTIF($FK$7:$FK$17,"vorschlagen")=2,COUNTIF($FL$7:$FL$17,"vorschlagen")=0,COUNTIF($FM$7:$FM$17,"vorschlagen")=0),
IF(DV7-SMALL($FF$7:$FF$17,1)-SMALL($FI$7:$FI$17,1)&gt;=0,"vorschlagen",""),"")),"")),"")),"")))),"")</f>
        <v/>
      </c>
      <c r="FO7" s="75" t="str">
        <f>IFERROR(IF(DO7="","",
IF(COUNT(FJ7)=0,"",
IF(DV7="","",
IF(AND(COUNTIF($FK$7:$FK$17,"vorschlagen")=2,COUNTIF($FL$7:$FL$17,"vorschlagen")=2,COUNTIF($FM$7:$FM$17,"vorschlagen")=2,COUNTIF($FN$7:$FN$17,"vorschlagen")=2),
IF(DV7-SMALL($FF$7:$FF$17,1)-SMALL($FG$7:$FG$17,1)-SMALL($FH$7:$FH$17,1)-SMALL($FI$7:$FI$17,1)-SMALL($FJ$7:$FJ$17,1)&gt;=0,"vorschlagen",
IF(AND(COUNTIF($FK$7:$FK$17,"vorschlagen")=2,COUNTIF($FL$7:$FL$17,"vorschlagen")=2,COUNTIF($FM$7:$FM$17,"vorschlagen")=2,COUNTIF($FN$7:$FN$17,"vorschlagen")=0),
IF(DV7-SMALL($FF$7:$FF$17,1)-SMALL($FG$7:$FG$17,1)-SMALL($FH$7:$FH$17,1)-SMALL($FJ$7:$FJ$17,1)&gt;=0,"vorschlagen",
IF(AND(COUNTIF($FK$7:$FK$17,"vorschlagen")=2,COUNTIF($FL$7:$FL$17,"vorschlagen")=2,COUNTIF($FM$7:$FM$17,"vorschlagen")=0,COUNTIF($FN$7:$FN$17,"vorschlagen")=2),
IF(DV7-SMALL($FF$7:$FF$17,1)-SMALL($FG$7:$FG$17,1)-SMALL($FI$7:$FI$17,1)-SMALL($FJ$7:$FJ$17,1)&gt;=0,"vorschlagen",
IF(AND(COUNTIF($FK$7:$FK$17,"vorschlagen")=2,COUNTIF($FL$7:$FL$17,"vorschlagen")=0,COUNTIF($FM$7:$FM$17,"vorschlagen")=2,COUNTIF($FN$7:$FN$17,"vorschlagen")=2),
IF(DV7-SMALL($FF$7:$FF$17,1)-SMALL($FH$7:$FH$17,1)-SMALL($FI$7:$FI$17,1)-SMALL($FJ$7:$FJ$17,1)&gt;=0,"vorschlagen",
IF(AND(COUNTIF($FK$7:$FK$17,"vorschlagen")=2,COUNTIF($FL$7:$FL$17,"vorschlagen")=2,COUNTIF($FM$7:$FM$17,"vorschlagen")=0,COUNTIF($FN$7:$FN$17,"vorschlagen")=0),
IF(DV7-SMALL($FF$7:$FF$17,1)-SMALL($FG$7:$FG$17,1)-SMALL($FJ$7:$FJ$17,1)&gt;=0,"vorschlagen",
IF(AND(COUNTIF($FK$7:$FK$17,"vorschlagen")=2,COUNTIF($FL$7:$FL$17,"vorschlagen")=0,COUNTIF($FM$7:$FM$17,"vorschlagen")=0,COUNTIF($FN$7:$FN$17,"vorschlagen")=2),
IF(DV7-SMALL($FF$7:$FF$17,1)-SMALL($FI$7:$FI$17,1)-SMALL($FJ$7:$FJ$17,1)&gt;=0,"vorschlagen",
IF(AND(COUNTIF($FK$7:$FK$17,"vorschlagen")=2,COUNTIF($FL$7:$FL$17,"vorschlagen")=0,COUNTIF($FM$7:$FM$17,"vorschlagen")=2,COUNTIF($FN$7:$FN$17,"vorschlagen")=0),
IF(DV7-SMALL($FF$7:$FF$17,1)-SMALL($FH$7:$FH$17,1)-SMALL($FJ$7:$FJ$17,1)&gt;=0,"vorschlagen",
IF(AND(COUNTIF($FK$7:$FK$17,"vorschlagen")=2,COUNTIF($FL$7:$FL$17,"vorschlagen")=0,COUNTIF($FM$7:$FM$17,"vorschlagen")=0,COUNTIF($FN$7:$FN$17,"vorschlagen")=0),
IF(DV7-SMALL($FF$7:$FF$17,1)-SMALL($FJ$7:$FJ$17,1)&gt;=0,"vorschlagen",""),"")),"")),"")),"")),"")),"")),"")),"")))),"")</f>
        <v/>
      </c>
      <c r="FP7" s="186" t="str">
        <f t="shared" ref="FP7:FP14" si="28">IF(C7="nein",10000+(Z7*5),"")</f>
        <v/>
      </c>
      <c r="FQ7" s="187">
        <f t="shared" ref="FQ7:FQ14" si="29">IF(OR(FK7="vorschlagen",FL7="vorschlagen",FM7="vorschlagen",FN7="vorschlagen",FO7="vorschlagen"),"",IF(C7="aut.",(Z7*300),""))</f>
        <v>300</v>
      </c>
      <c r="FR7" s="187" t="str">
        <f t="shared" ref="FR7:FR14" si="30">IFERROR(IF($AF$22&gt;2,IF(AND($C7="aut.",W7&lt;3.5,X7&gt;=3.5),200,IF(AND($C7="nein",W7&lt;3.5,X7&gt;=3.5),5000,IF(AND($C7="ja",W7&lt;3.5,X7&gt;=3.5),Z7,""))),
IF(AND($BC$52=390,$AF$22=2,$AF$28&lt;156),IF(AND($C7="aut.",W7&lt;3.5,X7&gt;=3.5),200,IF(AND($C7="nein",W7&lt;3.5,X7&gt;=3.5),5000,IF(AND($C7="ja",W7&lt;3.5,X7&gt;=3.5),Z7,""))),
IF(AND($BC$52=390,$AF$22=1,$AF$28&lt;130),IF(AND($C7="aut.",W7&lt;3.5,X7&gt;=3.5),200,IF(AND($C7="nein",W7&lt;3.5,X7&gt;=3.5),5000,IF(AND($C7="ja",W7&lt;3.5,X7&gt;=3.5),Z7,""))),
IF(AND($BC$52=420,$AF$22=2,$AF$28&lt;168),IF(AND($C7="aut.",W7&lt;3.5,X7&gt;=3.5),200,IF(AND($C7="nein",W7&lt;3.5,X7&gt;=3.5),5000,IF(AND($C7="ja",W7&lt;3.5,X7&gt;=3.5),Z7,""))),
IF(AND($BC$52=420,$AF$22=1,$AF$28&lt;140),IF(AND($C7="aut.",W7&lt;3.5,X7&gt;=3.5),200,IF(AND($C7="nein",W7&lt;3.5,X7&gt;=3.5),5000,IF(AND($C7="ja",W7&lt;3.5,X7&gt;=3.5),Z7,""))),""))))),"")</f>
        <v/>
      </c>
      <c r="FS7" s="81" t="str">
        <f t="shared" ref="FS7:FS14" si="31">IF(AND(DL7&lt;&gt;"",OR(FF7&lt;&gt;"",FG7&lt;&gt;"",FH7&lt;&gt;"",FI7&lt;&gt;"",FJ7&lt;&gt;"")),25,IF(AND(DN7&lt;&gt;"",OR(FF7&lt;&gt;"",FG7&lt;&gt;"",FH7&lt;&gt;"",FI7&lt;&gt;"",FJ7&lt;&gt;"")),8000,""))</f>
        <v/>
      </c>
      <c r="FT7" s="188" t="str">
        <f t="shared" ref="FT7:FT14" si="32">IF(C7="ja",50+Z7,"")</f>
        <v/>
      </c>
      <c r="FU7" s="196" t="str">
        <f t="shared" ref="FU7:FU14" si="33">IF(AND(D7="",E7=""),"",MIN(FP7:FT7))</f>
        <v/>
      </c>
      <c r="FV7" s="197" t="str">
        <f t="shared" ref="FV7:FV14" si="34">IFERROR(IF(FU7="","",FU7+((15+Y7)/100)+(W7/100000)+(X7/100000000)+(ROW(FU7)/100000000000)),"")</f>
        <v/>
      </c>
      <c r="FW7" s="110" t="str">
        <f>IF(FU7="","",IF($Q$20=0,"",""))</f>
        <v/>
      </c>
      <c r="FX7" s="5" t="str">
        <f t="shared" ref="FX7:FX14" si="35">IF(FU7="","",IF($Q$20=1,IF(FV7=SMALL($FV$7:$FV$17,1),1,IF(FV7=SMALL($FV$7:$FV$17,2),2,"")),""))</f>
        <v/>
      </c>
      <c r="FY7" s="111" t="str">
        <f t="shared" ref="FY7:FY14" si="36">IF(FU7="","",IF($Q$20=2,IF(FV7=SMALL($FV$7:$FV$18,1),1,IF(FV7=SMALL($FV$7:$FV$18,2),2,IF(FV7=SMALL($FV$7:$FV$18,3),3,IF(FV7=SMALL($FV$7:$FV$18,4),4,"")))),""))</f>
        <v/>
      </c>
      <c r="FZ7" s="92" t="str">
        <f t="shared" ref="FZ7:FZ16" si="37">IF(MAX(FW7:FY7)=0,"",MAX(FW7:FY7))</f>
        <v/>
      </c>
      <c r="GA7" s="108" t="str">
        <f t="shared" ref="GA7:GB14" si="38">IF(D7="","",_xlfn.RANK.EQ(M7,$M7:$N7,1)+COLUMN(D7)/100)</f>
        <v/>
      </c>
      <c r="GB7" s="109" t="str">
        <f t="shared" si="38"/>
        <v/>
      </c>
      <c r="GC7" s="91" t="str">
        <f>IF($BE$22&gt;16,"ja","nein")</f>
        <v>ja</v>
      </c>
      <c r="GD7" s="108" t="str">
        <f>IF(GC7="nein","",IF($FZ7="","",IF(GA7=MIN($GA7:$GB7),"aus","")))</f>
        <v/>
      </c>
      <c r="GE7" s="109" t="str">
        <f>IF(GC7="nein","",IF($FZ7="","",IF(GB7=MIN($GA7:$GB7),"aus","")))</f>
        <v/>
      </c>
      <c r="GG7" s="110" t="str">
        <f>IF(LEFT(GM7,1)="(","",GM7)</f>
        <v/>
      </c>
      <c r="GH7" s="78" t="str">
        <f>IF(LEFT(GN7,1)="(","",GN7)</f>
        <v/>
      </c>
      <c r="GI7" s="78">
        <f t="shared" ref="GI7:GI14" si="39">SUM(GG7:GH7)</f>
        <v>0</v>
      </c>
      <c r="GJ7" s="111">
        <f t="shared" ref="GJ7:GJ14" si="40">COUNT(GG7:GH7)</f>
        <v>0</v>
      </c>
      <c r="GK7" s="77"/>
      <c r="GL7" s="11" t="str">
        <f t="shared" ref="GL7:GL17" si="41">B7</f>
        <v>Religionslehre</v>
      </c>
      <c r="GM7" s="22" t="str">
        <f t="shared" ref="GM7:GN14" si="42">IF($B$20="Bitte klicken zum Auswählen","",IF(D7="","",IF(GD7="aus",CONCATENATE("( ",D7," )"),D7)))</f>
        <v/>
      </c>
      <c r="GN7" s="22" t="str">
        <f t="shared" si="42"/>
        <v/>
      </c>
      <c r="GO7" s="10"/>
      <c r="GQ7" s="136"/>
      <c r="GR7" s="310" t="str">
        <f>IF(GJ7=0,"",ROUND((GI7/GJ7),2))</f>
        <v/>
      </c>
      <c r="GS7" s="310"/>
      <c r="GT7" s="311" t="str">
        <f>IF(GR7="","",IF(GR7&lt;1,0,ROUND(GR7,0)))</f>
        <v/>
      </c>
      <c r="GU7" s="311"/>
      <c r="GV7" s="168" t="str">
        <f>IF(GR7="","",INDEX(Noten_tab[],MATCH(GT7,Noten_tab[Punkte],0),2))</f>
        <v/>
      </c>
      <c r="GW7" s="5" t="str">
        <f t="shared" ref="GW7:GW16" si="43">IF(GT7="","",IF(GT7=0,2,IF(GT7&lt;4,1,0)))</f>
        <v/>
      </c>
      <c r="GX7" s="75"/>
      <c r="GY7" s="110" t="str">
        <f t="shared" ref="GY7:GZ14" si="44">IF(BU7="","",IF(BU7&lt;1,0,ROUND(BU7,0)))</f>
        <v/>
      </c>
      <c r="GZ7" s="5">
        <f t="shared" si="44"/>
        <v>0</v>
      </c>
      <c r="HA7" s="5" t="str">
        <f>IF(GY7="","",INDEX(Noten_tab[],MATCH(GY7,Noten_tab[Punkte],0),3))</f>
        <v/>
      </c>
      <c r="HB7" s="5">
        <f>IF(GZ7="","",INDEX(Noten_tab[],MATCH(GZ7,Noten_tab[Punkte],0),3))</f>
        <v>6</v>
      </c>
      <c r="HC7" s="75" t="str">
        <f t="shared" ref="HC7:HC12" si="45">IF(OR(CL7="aus",CM7="aus"),"",IF(HA7&gt;HB7,"Verbesserung",""))</f>
        <v>Verbesserung</v>
      </c>
      <c r="HD7" s="5" t="str">
        <f t="shared" ref="HD7:HD17" si="46">IFERROR(IF(HC7="","",HA7-HB7),"")</f>
        <v/>
      </c>
      <c r="HE7" s="75" t="str">
        <f t="shared" ref="HE7:HE14" si="47">IF(OR(CL7="aus",CM7="aus"),IF(HA7&lt;=HB7,"keine Verschlechterung",""),"")</f>
        <v/>
      </c>
      <c r="HF7" s="5">
        <f t="shared" ref="HF7:HF17" si="48">IF(R7="","",IF(AND(HC7="",HE7=""),"",R7))</f>
        <v>0</v>
      </c>
      <c r="HG7" s="5">
        <f>IFERROR(IF(HF7="","",$CU$56),"")</f>
        <v>390</v>
      </c>
      <c r="HH7" s="5" t="str">
        <f>IFERROR(IF(HF7="","",$CW$28-IF($CU$56=390,INDEX(Schnitt_von_bis_390_tab[],MATCH($CW$29,Schnitt_von_bis_390_tab[Schnitt],0),3),INDEX(Schnitt_von_bis_420_tab[],MATCH($CW$29,Schnitt_von_bis_420_tab[Schnitt],0),3))),"")</f>
        <v/>
      </c>
      <c r="HI7" s="198" t="str">
        <f t="shared" ref="HI7:HI14" si="49">IF(HD7="","",_xlfn.RANK.EQ(HD7,$HD$7:$HD$17)+HF7/100+HB7/1000+(ROW(HD7)/10000000))</f>
        <v/>
      </c>
      <c r="HJ7" s="199" t="str">
        <f t="shared" ref="HJ7:HJ14" si="50">IF(HE7="","",_xlfn.RANK.EQ(HF7,$HF$7:$HF$17)+HA7/10+(ROW(HF7)/10000000))</f>
        <v/>
      </c>
      <c r="HK7" s="78" t="str">
        <f>IFERROR(IF(HF7="","",IF($DE$18=1,1,IF($DE$18=2,2,""))),"")</f>
        <v/>
      </c>
      <c r="HL7" s="78" t="str">
        <f>IFERROR(IF(HK7="","",IF(AND(HG7=390,HK7=1),130,IF(AND(HG7=390,HK7=2),156,IF(AND(HG7=420,HK7=1),140,IF(AND($CU$526=420,HK7=2),168,0))))),"")</f>
        <v/>
      </c>
      <c r="HM7" s="193" t="str">
        <f t="shared" ref="HM7:HM14" si="51">IFERROR(IF(HF7="","",$CW$28-HL7),"")</f>
        <v/>
      </c>
      <c r="HN7" s="194">
        <f>IFERROR(IF(HF7="","",MIN(HH7,HM7)),"")</f>
        <v>0</v>
      </c>
      <c r="HO7" s="5" t="str">
        <f>IFERROR(IF(COUNT($HD$7:$HD$17)&lt;1,"",IF(HI7="","",IF(HI7=SMALL($HI$7:$HI$17,1),HF7,""))),"")</f>
        <v/>
      </c>
      <c r="HP7" s="5" t="str">
        <f>IFERROR(IF(COUNT($HD$7:$HD$17)&lt;1,"",IF(HJ7="","",IF(HJ7=SMALL($HJ$7:$HJ$17,1),HF7,""))),"")</f>
        <v/>
      </c>
      <c r="HQ7" s="192" t="str">
        <f>IFERROR(IF(COUNT($HD$7:$HD$17)&lt;2,"",IF(HI7="","",IF(HI7=SMALL($HI$7:$HI$17,2),HF7,""))),"")</f>
        <v/>
      </c>
      <c r="HR7" s="5" t="str">
        <f>IFERROR(IF(COUNT($HD$7:$HD$17)&lt;2,"",IF(HJ7="","",IF(HJ7=SMALL($HJ$7:$HJ$17,2),HF7,""))),"")</f>
        <v/>
      </c>
      <c r="HS7" s="192" t="str">
        <f>IFERROR(IF(COUNT($HD$7:$HD$17)&lt;3,"",IF(HI7="","",IF(HI7=SMALL($HI$7:$HI$17,3),HF7,""))),"")</f>
        <v/>
      </c>
      <c r="HT7" s="5" t="str">
        <f>IFERROR(IF(COUNT($HD$7:$HD$17)&lt;3,"",IF(HJ7="","",IF(HJ7=SMALL($HJ$7:$HJ$17,3),HF7,""))),"")</f>
        <v/>
      </c>
      <c r="HU7" s="192" t="str">
        <f>IFERROR(IF(COUNT($HD$7:$HD$17)&lt;4,"",IF(HI7="","",IF(HI7=SMALL($HI$7:$HI$17,4),HF7,""))),"")</f>
        <v/>
      </c>
      <c r="HV7" s="5" t="str">
        <f>IFERROR(IF(COUNT($HD$7:$HD$17)&lt;4,"",IF(HJ7="","",IF(HJ7=SMALL($HJ$7:$HJ$17,4),HF7,""))),"")</f>
        <v/>
      </c>
      <c r="HW7" s="192" t="str">
        <f>IFERROR(IF(COUNT($HD$7:$HD$17)&lt;5,"",IF(HI7="","",IF(HI7=SMALL($HI$7:$HI$17,5),HF7,""))),"")</f>
        <v/>
      </c>
      <c r="HX7" s="111" t="str">
        <f>IFERROR(IF(COUNT($HD$7:$HD$17)&lt;5,"",IF(HJ7="","",IF(HJ7=SMALL($HJ$7:$HJ$17,5),HF7,""))),"")</f>
        <v/>
      </c>
      <c r="HY7" s="78" t="str">
        <f>IFERROR(IF(COUNT($HO$7:$HO$17,$HP$7:$HP$17)&lt;&gt;2,"",
(IF(AND(HO7="",HP7=""),"",
IF($HN7&lt;(SMALL($HO$7:$HO$17,1)-SMALL($HP$7:$HP$17,1)),"",
(SMALL($HO$7:$HO$17,1)-SMALL($HP$7:$HP$17,1)))))),"")</f>
        <v/>
      </c>
      <c r="HZ7" s="5" t="str">
        <f>IFERROR(IF(COUNT($HO$7:$HO$17,$HR$7:$HR$17)&lt;&gt;2,"",
IF(AND(HO7="",HR7=""),"",
IF(COUNT($HY$7:$HY$17)&gt;0,"",
IF($HN7&lt;(SMALL($HO$7:$HO$17,1)-SMALL($HR$7:$HR$17,1)),"",
(SMALL($HO$7:$HO$17,1)-SMALL($HR$7:$HR$17,1)))))),"")</f>
        <v/>
      </c>
      <c r="IA7" s="5" t="str">
        <f>IFERROR(IF(COUNT($HO$7:$HO$17,$HT$7:$HT$17)&lt;&gt;2,"",
IF(AND(HO7="",HT7=""),"",
IF(COUNT($HY$7:$HZ$17)&gt;0,"",
IF($HN7&lt;(SMALL($HO$7:$HO$17,1)-SMALL($HT$7:$HT$17,1)),"",
(SMALL($HO$7:$HO$17,1)-SMALL($HT$7:$HT$17,1)))))),"")</f>
        <v/>
      </c>
      <c r="IB7" s="5" t="str">
        <f>IFERROR(IF(COUNT($HO$7:$HO$17,$HV$7:$HV$17)&lt;&gt;2,"",
IF(AND(HO7="",HV7=""),"",
IF(COUNT($HY$7:$IA$17)&gt;0,"",
IF($HN7&lt;(SMALL($HO$7:$HO$17,1)-SMALL($HV$7:$HV$17,1)),"",
(SMALL($HO$7:$HO$17,1)-SMALL($HV$7:$HV$17,1)))))),"")</f>
        <v/>
      </c>
      <c r="IC7" s="5" t="str">
        <f>IFERROR(IF(COUNT($HO$7:$HO$17,$HX$7:$HX$17)&lt;&gt;2,"",
IF(AND(HO7="",HX7=""),"",
IF(COUNT($HY$7:$IB$17)&gt;0,"",
IF($HN7&lt;(SMALL($HO$7:$HO$17,1)-SMALL($HX$7:$HX$17,1)),"",
(SMALL($HO$7:$HO$17,1)-SMALL($HX$7:$HX$17,1)))))),"")</f>
        <v/>
      </c>
      <c r="ID7" s="192" t="str">
        <f>IFERROR(IF(COUNT($HQ$7:$HQ$17,$HP$7:$HP$17)&lt;&gt;2,"",
IF(AND(HQ7="",HP7=""),"",
IF(COUNT($HY$7:$HY$17)&gt;0,"",
IF($HN7&lt;(SMALL($HQ$7:$HQ$17,1)-SMALL($HP$7:$HP$17,1)),"",
(SMALL($HQ$7:$HQ$17,1)-SMALL($HP$7:$HP$17,1)))))),"")</f>
        <v/>
      </c>
      <c r="IE7" s="78" t="str">
        <f>IFERROR(IF(COUNT($HQ$7:$HQ$17,$HR$7:$HR$17)&lt;&gt;2,"",
IF(AND(HQ7="",HR7=""),"",
IF(COUNT($HZ$7:$HZ$17)&gt;0,"",
IF(COUNT($ID$7:$ID$17)&gt;0,"",
IF($HN7&lt;(SMALL($HQ$7:$HQ$17,1)-SMALL($HR$7:$HR$17,1)),"",
(SMALL($HQ$7:$HQ$17,1)-SMALL($HR$7:$HR$17,1))))))),"")</f>
        <v/>
      </c>
      <c r="IF7" s="78" t="str">
        <f>IFERROR(IF(COUNT($HQ$7:$HQ$17,$HT$7:$HT$17)&lt;&gt;2,"",
IF(AND(HQ7="",HT7=""),"",
IF(COUNT($IA$7:$IA$17)&gt;0,"",
IF(COUNT($ID$7:$IE$17)&gt;0,"",
IF($HN7&lt;(SMALL($HQ$7:$HQ$17,1)-SMALL($HT$7:$HT$17,1)),"",
(SMALL($HQ$7:$HQ$17,1)-SMALL($HT$7:$HT$17,1))))))),"")</f>
        <v/>
      </c>
      <c r="IG7" s="78" t="str">
        <f>IFERROR(IF(COUNT($HQ$7:$HQ$17,$HV$7:$HV$17)&lt;&gt;2,"",
IF(AND(HQ7="",HV7=""),"",
IF(COUNT($IB$7:$IB$17)&gt;0,"",
IF(COUNT($ID$7:$IF$17)&gt;0,"",
IF($HN7&lt;(SMALL($HQ$7:$HQ$17,1)-SMALL($HV$7:$HV$17,1)),"",
(SMALL($HQ$7:$HQ$17,1)-SMALL($HV$7:$HV$17,1))))))),"")</f>
        <v/>
      </c>
      <c r="IH7" s="193" t="str">
        <f>IFERROR(IF(COUNT($HQ$7:$HQ$17,$HX$7:$HX$17)&lt;&gt;2,"",
IF(AND(HQ7="",HX7=""),"",
IF(COUNT($IC$7:$IC$17)&gt;0,"",
IF(COUNT($ID$7:$IG$17)&gt;0,"",
IF($HN7&lt;(SMALL($HQ$7:$HQ$17,1)-SMALL($HX$7:$HX$17,1)),"",
(SMALL($HQ$7:$HQ$17,1)-SMALL($HX$7:$HX$17,1))))))),"")</f>
        <v/>
      </c>
      <c r="II7" s="5" t="str">
        <f>IFERROR(IF(COUNT($HS$7:$HS$17,$HP$7:$HP$17)&lt;&gt;2,"",
IF(AND(HS7="",HP7=""),"",
IF(COUNT($HY$7:$HY$17,$ID$7:$ID$17)&gt;0,"",
IF($HN7&lt;(SMALL($HS$7:$HS$17,1)-SMALL($HP$7:$HP$17,1)),"",
(SMALL($HS$7:$HS$17,1)-SMALL($HP$7:$HP$17,1)))))),"")</f>
        <v/>
      </c>
      <c r="IJ7" s="5" t="str">
        <f>IFERROR(IF(COUNT($HS$7:$HS$17,$HR$7:$HR$17)&lt;&gt;2,"",
IF(AND(HS7="",HR7=""),"",
IF(COUNT($HZ$7:$HZ$17,$IE$7:$IE$17)&gt;0,"",
IF(COUNT($II$7:$II$17)&gt;0,"",
IF($HN7&lt;(SMALL($HS$7:$HS$17,1)-SMALL($HR$7:$HR$17,1)),"",
(SMALL($HS$7:$HS$17,1)-SMALL($HR$7:$HR$17,1))))))),"")</f>
        <v/>
      </c>
      <c r="IK7" s="5" t="str">
        <f>IFERROR(IF(COUNT($HS$7:$HS$17,$HT$7:$HT$17)&lt;&gt;2,"",
IF(AND(HS7="",HT7=""),"",
IF(COUNT($IA$7:$IA$17,$IF$7:$IF$17)&gt;0,"",
IF(COUNT($II$7:$IJ$17)&gt;0,"",
IF($HN7&lt;(SMALL($HS$7:$HS$17,1)-SMALL($HT$7:$HT$17,1)),"",
(SMALL($HS$7:$HS$17,1)-SMALL($HT$7:$HT$17,1))))))),"")</f>
        <v/>
      </c>
      <c r="IL7" s="5" t="str">
        <f>IFERROR(IF(COUNT($HS$7:$HS$17,$HV$7:$HV$17)&lt;&gt;2,"",
IF(AND(HS7="",HV7=""),"",
IF(COUNT($IB$7:$IB$17,$IG$7:$IG$17)&gt;0,"",
IF(COUNT($II$7:$IK$17)&gt;0,"",
IF($HN7&lt;(SMALL($HS$7:$HS$17,1)-SMALL($HV$7:$HV$17,1)),"",
(SMALL($HS$7:$HS$17,1)-SMALL($HV$7:$HV$17,1))))))),"")</f>
        <v/>
      </c>
      <c r="IM7" s="5" t="str">
        <f>IFERROR(IF(COUNT($HS$7:$HS$17,$HX$7:$HX$17)&lt;&gt;2,"",
IF(AND(HS7="",HX7=""),"",
IF(COUNT($IC$7:$IC$17,$IH$7:$IH$17)&gt;0,"",
IF(COUNT($II$7:$IL$17)&gt;0,"",
IF($HN7&lt;(SMALL($HS$7:$HS$17,1)-SMALL($HX$7:$HX$17,1)),"",
(SMALL($HS$7:$HS$17,1)-SMALL($HX$7:$HX$17,1))))))),"")</f>
        <v/>
      </c>
      <c r="IN7" s="192" t="str">
        <f>IFERROR(IF(COUNT($HU$7:$HU$17,$HP$7:$HP$17)&lt;&gt;2,"",
IF(AND(HU7="",HP7=""),"",
IF(COUNT($HY$7:$HY$17,$ID$7:$ID$17,$II$7:$II$17)&gt;0,"",
IF($HN7&lt;(SMALL($HU$7:$HU$17,1)-SMALL($HP$7:$HP$17,1)),"",
(SMALL($HU$7:$HU$17,1)-SMALL($HP$7:$HP$17,1)))))),"")</f>
        <v/>
      </c>
      <c r="IO7" s="78" t="str">
        <f>IFERROR(IF(COUNT($HU$7:$HU$17,$HR$7:$HR$17)&lt;&gt;2,"",
IF(AND(HU7="",HR7=""),"",
IF(COUNT($HZ$7:$HZ$17,$IE$7:$IE$17,$IJ$7:$IJ$17)&gt;0,"",
IF(COUNT($IN$7:$IN$17)&gt;0,"",
IF($HN7&lt;(SMALL($HU$7:$HU$17,1)-SMALL($HR$7:$HR$17,1)),"",
(SMALL($HU$7:$HU$17,1)-SMALL($HR$7:$HR$17,1))))))),"")</f>
        <v/>
      </c>
      <c r="IP7" s="78" t="str">
        <f>IFERROR(IF(COUNT($HU$7:$HU$17,$HT$7:$HT$17)&lt;&gt;2,"",
IF(AND(HU7="",HT7=""),"",
IF(COUNT($IA$7:$IA$17,$IF$7:$IF$17,$IK$7:$IK$17)&gt;0,"",
IF(COUNT($IN$7:$IO$17)&gt;0,"",
IF($HN7&lt;(SMALL($HU$7:$HU$17,1)-SMALL($HT$7:$HT$17,1)),"",
(SMALL($HU$7:$HU$17,1)-SMALL($HT$7:$HT$17,1))))))),"")</f>
        <v/>
      </c>
      <c r="IQ7" s="78" t="str">
        <f>IFERROR(IF(COUNT($HU$7:$HU$17,$HV$7:$HV$17)&lt;&gt;2,"",
IF(AND(HU7="",HV7=""),"",
IF(COUNT($IB$7:$IB$17,$IG$7:$IG$17,$IL$7:$IL$17)&gt;0,"",
IF(COUNT($IN$7:$IP$17)&gt;0,"",
IF($HN7&lt;(SMALL($HU$7:$HU$17,1)-SMALL($HV$7:$HV$17,1)),"",
(SMALL($HU$7:$HU$17,1)-SMALL($HV$7:$HV$17,1))))))),"")</f>
        <v/>
      </c>
      <c r="IR7" s="193" t="str">
        <f>IFERROR(IF(COUNT($HU$7:$HU$17,$HX$7:$HX$17)&lt;&gt;2,"",
IF(AND(HU7="",HX7=""),"",
IF(COUNT($IC$7:$IC$17,$IH$7:$IH$17,$IM$7:$IM$17)&gt;0,"",
IF(COUNT($IN$7:$IQ$17)&gt;0,"",
IF($HN7&lt;(SMALL($HU$7:$HU$17,1)-SMALL($HX$7:$HX$17,1)),"",
(SMALL($HU$7:$HU$17,1)-SMALL($HX$7:$HX$17,1))))))),"")</f>
        <v/>
      </c>
      <c r="IS7" s="195" t="str">
        <f>IFERROR(IF(COUNT($HW$7:$HW$17,$HP$7:$HP$17)&lt;&gt;2,"",
IF(AND(HW7="",HC7=""),"",
IF(COUNT($HY$7:$HY$17,$ID$7:$ID$17,$II$7:$II$17,$IN$7:$IN$17)&gt;0,"",
IF($HN7&lt;(SMALL($HW$7:$HW$17,1)-SMALL($HP$7:$HP$17,1)),"",
(SMALL($HW$7:$HW$17,1)-SMALL($HP$7:$HP$17,1)))))),"")</f>
        <v/>
      </c>
      <c r="IT7" s="5" t="str">
        <f>IFERROR(IF(COUNT($HW$7:$HW$17,$HR$7:$HR$17)&lt;&gt;2,"",
IF(AND(HR7="",HW7=""),"",
IF(COUNT($HZ$7:$HZ$17,$IE$7:$IE$17,$IJ$7:$IJ$17,$IO$7:$IO$17)&gt;0,"",
IF(COUNT($IS$7:$IS$17)&gt;0,"",
IF($HN7&lt;(SMALL($HW$7:$HW$17,1)-SMALL($HR$7:$HR$17,1)),"",
(SMALL($HW$7:$HW$17,1)-SMALL($HR$7:$HR$17,1))))))),"")</f>
        <v/>
      </c>
      <c r="IU7" s="5" t="str">
        <f>IFERROR(IF(COUNT($HW$7:$HW$17,$HT$7:$HT$17)&lt;&gt;2,"",
IF(AND(HW7="",HT7=""),"",
IF(COUNT($IA$7:$IA$17,$IF$7:$IF$17,$IK$7:$IK$17,$IP$7:$IP$17)&gt;0,"",
IF(COUNT($IS$7:$IT$17)&gt;0,"",
IF($HN7&lt;(SMALL($HW$7:$HW$17,1)-SMALL($HT$7:$HT$17,1)),"",
(SMALL($HW$7:$HW$17,1)-SMALL($HT$7:$HT$17,1))))))),"")</f>
        <v/>
      </c>
      <c r="IV7" s="5" t="str">
        <f>IFERROR(IF(COUNT($HW$7:$HW$17,$HV$7:$HV$17)&lt;&gt;2,"",
IF(AND(HW7="",HV7=""),"",
IF(COUNT($IB$7:$IB$17,$IG$7:$IG$17,$IL$7:$IL$17,$IQ$7:$IQ$17)&gt;0,"",
IF(COUNT($IS$7:$IU$17)&gt;0,"",
IF($HN7&lt;(SMALL($HW$7:$HW$17,1)-SMALL($HV$7:$HV$17,1)),"",
(SMALL($HW$7:$HW$17,1)-SMALL($HV$7:$HV$17,1))))))),"")</f>
        <v/>
      </c>
      <c r="IW7" s="5" t="str">
        <f>IFERROR(IF(COUNT($HW$7:$HW$17,$HX$7:$HX$17)&lt;&gt;2,"",
IF(AND(HW7="",HX7=""),"",
IF(COUNT($IC$7:$IC$17,$IH$7:$IH$17,$IM$7:$IM$17,$IR$7:$IR$17)&gt;0,"",
IF(COUNT($IS$7:$IV$17)&gt;0,"",
IF($HN7&lt;(SMALL($HW$7:$HW$17,1)-SMALL($HX$7:$HX$17,1)),"",
(SMALL($HW$7:$HW$17,1)-SMALL($HX$7:$HX$17,1))))))),"")</f>
        <v/>
      </c>
      <c r="IX7" s="110" t="str">
        <f>IFERROR(IF(COUNT(HY7:IC7)=0,"",MAX(HY7:IC7)),"")</f>
        <v/>
      </c>
      <c r="IY7" s="5" t="str">
        <f>IFERROR(IF(COUNT(ID7:IH7)=0,"",MAX(ID7:IH7)),"")</f>
        <v/>
      </c>
      <c r="IZ7" s="5" t="str">
        <f>IFERROR(IF(COUNT(II7:IM7)=0,"",MAX(II7:IM7)),"")</f>
        <v/>
      </c>
      <c r="JA7" s="5" t="str">
        <f>IFERROR(IF(COUNT(IN7:IR7)=0,"",MAX(IN7:IR7)),"")</f>
        <v/>
      </c>
      <c r="JB7" s="5" t="str">
        <f>IFERROR(IF(COUNT(IS7:IW7)=0,"",MAX(IS7:IW7)),"")</f>
        <v/>
      </c>
      <c r="JC7" s="200" t="str">
        <f>IFERROR(IF(HF7="","",IF(COUNT(IX7)=1,"vorschlagen","")),"")</f>
        <v/>
      </c>
      <c r="JD7" s="75" t="str">
        <f>IFERROR(IF(HF7="","",
IF(COUNT(IY7)=0,"",
IF(HN7="","",
IF(COUNTIF($JC$7:$JC$17,"vorschlagen")=2,
IF(HN7-SMALL($IX$7:$IX$17,1)-SMALL($IY$7:$IY$17,1)&gt;=0,"vorschlagen",
IF(COUNTIF($JC$7:$JC$17,"vorschlagen")=0,
IF(HN7-SMALL($IY$7:$IY$17,1)&gt;=0,"vorschlagen",""),"")),"")))),"")</f>
        <v/>
      </c>
      <c r="JE7" s="75" t="str">
        <f>IFERROR(IF(HF7="","",
IF(COUNT(IZ7)=0,"",
IF(HN7="","",
IF(AND(COUNTIF($JC$7:$JC$17,"vorschlagen")=2,COUNTIF($JD$7:$JD$17,"vorschlagen")=2),
IF(HN7-SMALL($IX$7:$IX$17,1)-SMALL($IY$7:$IY$17,1)-SMALL($IZ$7:$IZ$17,1)&gt;=0,"vorschlagen",
IF(AND(COUNTIF($JC$7:$JC$17,"vorschlagen")=2,COUNTIF($JD$7:$JD$17,"vorschlagen")=0),
IF(HN7-SMALL($IX$7:$IX$17,1)-SMALL($IZ$7:$IZ$17,1)&gt;=0,"vorschlagen",""),"")),"")))),"")</f>
        <v/>
      </c>
      <c r="JF7" s="75" t="str">
        <f>IFERROR(IF(HF7="","",
IF(COUNT(JA7)=0,"",
IF(HN7="","",
IF(AND(COUNTIF($JC$7:$JC$17,"vorschlagen")=2,COUNTIF($JD$7:$JD$17,"vorschlagen")=2,COUNTIF($JE$7:$JE$17,"vorschlagen")=2),
IF(HN7-SMALL($IX$7:$IX$17,1)-SMALL($IY$7:$IY$17,1)-SMALL($IZ$7:$IZ$17,1)-SMALL($JA$7:$JA$17,1)&gt;=0,"vorschlagen",
IF(AND(COUNTIF($JC$7:$JC$17,"vorschlagen")=2,COUNTIF($JD$7:$JD$17,"vorschlagen")=2,COUNTIF($JE$7:$JE$17,"vorschlagen")=0),
IF(HN7-SMALL($IX$7:$IX$17,1)-SMALL($IY$7:$IY$17,1)-SMALL($JA$7:$JA$17,1)&gt;=0,"vorschlagen",
IF(AND(COUNTIF($JC$7:$JC$17,"vorschlagen")=2,COUNTIF($JD$7:$JD$17,"vorschlagen")=0,COUNTIF($JE$7:$JE$17,"vorschlagen")=2),
IF(HN7-SMALL($IX$7:$IX$17,1)-SMALL($IZ$7:$IZ$17,1)-SMALL($JA$7:$JA$17,1)&gt;=0,"vorschlagen",
IF(AND(COUNTIF($JC$7:$JC$17,"vorschlagen")=2,COUNTIF($JD$7:$JD$17,"vorschlagen")=0,COUNTIF($JE$7:$JE$17,"vorschlagen")=0),
IF(HN7-SMALL($IX$7:$IX$17,1)-SMALL($JA$7:$JA$17,1)&gt;=0,"vorschlagen",""),"")),"")),"")),"")))),"")</f>
        <v/>
      </c>
      <c r="JG7" s="109" t="str">
        <f>IFERROR(IF(HF7="","",
IF(COUNT(JB7)=0,"",
IF(HN7="","",
IF(AND(COUNTIF($JC$7:$JC$17,"vorschlagen")=2,COUNTIF($JD$7:$JD$17,"vorschlagen")=2,COUNTIF($JE$7:$JE$17,"vorschlagen")=2,COUNTIF($JF$7:$JF$17,"vorschlagen")=2),
IF(HN7-SMALL($IX$7:$IX$17,1)-SMALL($IY$7:$IY$17,1)-SMALL($IZ$7:$IZ$17,1)-SMALL($JA$7:$JA$17,1)-SMALL($JB$7:$JB$17,1)&gt;=0,"vorschlagen",
IF(AND(COUNTIF($JC$7:$JC$17,"vorschlagen")=2,COUNTIF($JD$7:$JD$17,"vorschlagen")=2,COUNTIF($JE$7:$JE$17,"vorschlagen")=2,COUNTIF($JF$7:$JF$17,"vorschlagen")=0),
IF(HN7-SMALL($IX$7:$IX$17,1)-SMALL($IY$7:$IY$17,1)-SMALL($IZ$7:$IZ$17,1)-SMALL($JB$7:$JB$17,1)&gt;=0,"vorschlagen",
IF(AND(COUNTIF($JC$7:$JC$17,"vorschlagen")=2,COUNTIF($JD$7:$JD$17,"vorschlagen")=2,COUNTIF($JE$7:$JE$17,"vorschlagen")=0,COUNTIF($JF$7:$JF$17,"vorschlagen")=2),
IF(HN7-SMALL($IX$7:$IX$17,1)-SMALL($IY$7:$IY$17,1)-SMALL($JA$7:$JA$17,1)-SMALL($JB$7:$JB$17,1)&gt;=0,"vorschlagen",
IF(AND(COUNTIF($JC$7:$JC$17,"vorschlagen")=2,COUNTIF($JD$7:$JD$17,"vorschlagen")=0,COUNTIF($JE$7:$JE$17,"vorschlagen")=2,COUNTIF($JF$7:$JF$17,"vorschlagen")=2),
IF(HN7-SMALL($IX$7:$IX$17,1)-SMALL($IZ$7:$IZ$17,1)-SMALL($JA$7:$JA$17,1)-SMALL($JB$7:$JB$17,1)&gt;=0,"vorschlagen",
IF(AND(COUNTIF($JC$7:$JC$17,"vorschlagen")=2,COUNTIF($JD$7:$JD$17,"vorschlagen")=2,COUNTIF($JE$7:$JE$17,"vorschlagen")=0,COUNTIF($JF$7:$JF$17,"vorschlagen")=0),
IF(HN7-SMALL($IX$7:$IX$17,1)-SMALL($IY$7:$IY$17,1)-SMALL($JB$7:$JB$17,1)&gt;=0,"vorschlagen",
IF(AND(COUNTIF($JC$7:$JC$17,"vorschlagen")=2,COUNTIF($JD$7:$JD$17,"vorschlagen")=0,COUNTIF($JE$7:$JE$17,"vorschlagen")=0,COUNTIF($JF$7:$JF$17,"vorschlagen")=2),
IF(HN7-SMALL($IX$7:$IX$17,1)-SMALL($JA$7:$JA$17,1)-SMALL($JB$7:$JB$17,1)&gt;=0,"vorschlagen",
IF(AND(COUNTIF($JC$7:$JC$17,"vorschlagen")=2,COUNTIF($JD$7:$JD$17,"vorschlagen")=0,COUNTIF($JE$7:$JE$17,"vorschlagen")=2,COUNTIF($JF$7:$JF$17,"vorschlagen")=0),
IF(HN7-SMALL($IX$7:$IX$17,1)-SMALL($IZ$7:$IZ$17,1)-SMALL($JB$7:$JB$17,1)&gt;=0,"vorschlagen",
IF(AND(COUNTIF($JC$7:$JC$17,"vorschlagen")=2,COUNTIF($JD$7:$JD$17,"vorschlagen")=0,COUNTIF($JE$7:$JE$17,"vorschlagen")=0,COUNTIF($JF$7:$JF$17,"vorschlagen")=0),
IF(HN7-SMALL($IX$7:$IX$17,1)-SMALL($JB$7:$JB$17,1)&gt;=0,"vorschlagen",""),"")),"")),"")),"")),"")),"")),"")),"")))),"")</f>
        <v/>
      </c>
      <c r="JH7" s="186" t="str">
        <f t="shared" ref="JH7:JH12" si="52">IF(C7="nein",10000+(Z7*5),"")</f>
        <v/>
      </c>
      <c r="JI7" s="187">
        <f t="shared" ref="JI7:JI12" si="53">IF(OR(JC7="vorschlagen",JD7="vorschlagen",JE7="vorschlagen",JF7="vorschlagen",JG7="vorschlagen"),"",IF(C7="aut.",(Z7*300),""))</f>
        <v>300</v>
      </c>
      <c r="JJ7" s="187" t="str">
        <f t="shared" ref="JJ7:JJ14" si="54">IFERROR(IF($AF$22&gt;2,IF(AND($C7="aut.",BU7&lt;3.5,BV7&gt;=3.5),200,IF(AND($C7="nein",BU7&lt;3.5,BV7&gt;=3.5),5000,IF(AND($C7="ja",BU7&lt;3.5,BV7&gt;=3.5),BX7,""))),
IF(AND($BC$52=390,$AF$22=2,$AF$28&lt;156),IF(AND($C7="aut.",BU7&lt;3.5,BV7&gt;=3.5),200,IF(AND($C7="nein",BU7&lt;3.5,BV7&gt;=3.5),5000,IF(AND($C7="ja",BU7&lt;3.5,BV7&gt;=3.5),BX7,""))),
IF(AND($BC$52=390,$AF$22=1,$AF$28&lt;130),IF(AND($C7="aut.",BU7&lt;3.5,BV7&gt;=3.5),200,IF(AND($C7="nein",BU7&lt;3.5,BV7&gt;=3.5),5000,IF(AND($C7="ja",BU7&lt;3.5,BV7&gt;=3.5),BX7,""))),
IF(AND($BC$52=420,$AF$22=2,$AF$28&lt;168),IF(AND($C7="aut.",BU7&lt;3.5,BV7&gt;=3.5),200,IF(AND($C7="nein",BU7&lt;3.5,BV7&gt;=3.5),5000,IF(AND($C7="ja",BU7&lt;3.5,BV7&gt;=3.5),BX7,""))),
IF(AND($BC$52=420,$AF$22=1,$AF$28&lt;140),IF(AND($C7="aut.",BU7&lt;3.5,BV7&gt;=3.5),200,IF(AND($C7="nein",BU7&lt;3.5,BV7&gt;=3.5),5000,IF(AND($C7="ja",BU7&lt;3.5,BV7&gt;=3.5),BX7,""))),""))))),"")</f>
        <v/>
      </c>
      <c r="JK7" s="81" t="str">
        <f t="shared" ref="JK7:JK12" si="55">IF(AND(HC7&lt;&gt;"",OR(JC7&lt;&gt;"",JD7&lt;&gt;"",JE7&lt;&gt;"",JF7&lt;&gt;"",JG7&lt;&gt;"")),25,IF(AND(HE7&lt;&gt;"",OR(JC7&lt;&gt;"",JD7&lt;&gt;"",JE7&lt;&gt;"",JF7&lt;&gt;"",JG7&lt;&gt;"")),8000,""))</f>
        <v/>
      </c>
      <c r="JL7" s="188" t="str">
        <f t="shared" ref="JL7:JL12" si="56">IF(C7="ja",50+Z7,"")</f>
        <v/>
      </c>
      <c r="JM7" s="196" t="str">
        <f t="shared" ref="JM7:JM14" si="57">IF(AND(D7="",E7=""),"",MIN(JH7:JL7))</f>
        <v/>
      </c>
      <c r="JN7" s="197" t="str">
        <f t="shared" ref="JN7:JN14" si="58">IFERROR(IF(JM7="","",JM7+((15+BW7)/100)+(BU7/100000)+(BV7/100000000)+(ROW(JM7)/100000000000)),"")</f>
        <v/>
      </c>
      <c r="JO7" s="110" t="str">
        <f>IF(JM7="","",IF($Q$20=0,"",""))</f>
        <v/>
      </c>
      <c r="JP7" s="5" t="str">
        <f t="shared" ref="JP7:JP14" si="59">IF(JM7="","",IF($Q$20=1,IF(JN7=SMALL($JN$7:$JN$17,1),1,IF(JN7=SMALL($JN$7:$JN$17,2),2,"")),""))</f>
        <v/>
      </c>
      <c r="JQ7" s="111" t="str">
        <f t="shared" ref="JQ7:JQ14" si="60">IF(JM7="","",IF($Q$20=2,IF(JN7=SMALL($JN$7:$JN$18,1),1,IF(JN7=SMALL($JN$7:$JN$18,2),2,IF(JN7=SMALL($JN$7:$JN$18,3),3,IF(JN7=SMALL($JN$7:$JN$18,4),4,"")))),""))</f>
        <v/>
      </c>
      <c r="JR7" s="92" t="str">
        <f t="shared" ref="JR7:JR14" si="61">IF(MAX(JO7:JQ7)=0,"",MAX(JO7:JQ7))</f>
        <v/>
      </c>
      <c r="JS7" s="108" t="str">
        <f t="shared" ref="JS7:JT14" si="62">IF(D7="","",_xlfn.RANK.EQ(M7,$M7:$N7,1)+COLUMN(D7)/100)</f>
        <v/>
      </c>
      <c r="JT7" s="109" t="str">
        <f t="shared" si="62"/>
        <v/>
      </c>
      <c r="JU7" s="91" t="str">
        <f t="shared" ref="JU7:JU14" si="63">IF($CW$22&gt;16,"ja","nein")</f>
        <v>ja</v>
      </c>
      <c r="JV7" s="108" t="str">
        <f t="shared" ref="JV7:JV14" si="64">IF(JU7="nein","",IF($JR7="","",IF(JS7=MIN($JS7:$JT7),"aus","")))</f>
        <v/>
      </c>
      <c r="JW7" s="109" t="str">
        <f t="shared" ref="JW7:JW14" si="65">IF(JU7="nein","",IF($JR7="","",IF(JT7=MIN($JS7:$JT7),"aus","")))</f>
        <v/>
      </c>
      <c r="JY7" s="110" t="str">
        <f t="shared" ref="JY7:JZ14" si="66">IF(LEFT(KE7,1)="(","",KE7)</f>
        <v/>
      </c>
      <c r="JZ7" s="78" t="str">
        <f t="shared" si="66"/>
        <v/>
      </c>
      <c r="KA7" s="78">
        <f t="shared" ref="KA7:KA14" si="67">SUM(JY7:JZ7)</f>
        <v>0</v>
      </c>
      <c r="KB7" s="111">
        <f t="shared" ref="KB7:KB14" si="68">COUNT(JY7:JZ7)</f>
        <v>0</v>
      </c>
      <c r="KD7" s="84" t="str">
        <f t="shared" ref="KD7:KD17" si="69">IF(OR($B$20="Fachgebundene Hochschulreife",AND($B$20="Allgemeine Hochschulreife",$B$22="Ausgewiesenes Sprachniveau B1 durch andere Schule")),"",B7)</f>
        <v>Religionslehre</v>
      </c>
      <c r="KE7" s="22" t="str">
        <f t="shared" ref="KE7:KF14" si="70">IF(AND($B$20="Allgemeine Hochschulreife",$B$22="Bitte klicken zum Auswählen"),"",IF(AND($B$20="Allgemeine Hochschulreife",$B$22&lt;&gt;"Ausgewiesenes Sprachniveau B1 durch andere Schule"),IF(D7="","",IF(JV7="aus",CONCATENATE("( ",D7," )"),D7)),""))</f>
        <v/>
      </c>
      <c r="KF7" s="22" t="str">
        <f t="shared" si="70"/>
        <v/>
      </c>
      <c r="KG7" s="10"/>
      <c r="KH7" s="20"/>
      <c r="KI7" s="134"/>
      <c r="KJ7" s="310" t="str">
        <f>IF(KB7=0,"",ROUND((KA7/KB7),2))</f>
        <v/>
      </c>
      <c r="KK7" s="310"/>
      <c r="KL7" s="311" t="str">
        <f>IF(KJ7="","",IF(KJ7&lt;1,0,ROUND(KJ7,0)))</f>
        <v/>
      </c>
      <c r="KM7" s="311"/>
      <c r="KN7" s="168" t="str">
        <f>IF(KJ7="","",INDEX(Noten_tab[],MATCH(KL7,Noten_tab[Punkte],0),2))</f>
        <v/>
      </c>
      <c r="KO7" s="5" t="str">
        <f t="shared" ref="KO7:KO17" si="71">IF(KL7="","",IF(KL7=0,2,IF(KL7&lt;4,1,0)))</f>
        <v/>
      </c>
    </row>
    <row r="8" spans="2:301" ht="18.75" customHeight="1" x14ac:dyDescent="0.25">
      <c r="B8" s="13" t="s">
        <v>3</v>
      </c>
      <c r="C8" s="29" t="s">
        <v>49</v>
      </c>
      <c r="D8" s="26"/>
      <c r="E8" s="26"/>
      <c r="G8" s="3"/>
      <c r="H8" s="3"/>
      <c r="I8" s="30" t="str">
        <f>IF(AND(G8="",H8=""),"",IF(H8="",G8,IF(G8="",H8,((G8*2)+H8)/3)))</f>
        <v/>
      </c>
      <c r="J8" s="30" t="str">
        <f>IF(AND(G8="",H8=""),"",IF(I8&lt;1,0,ROUND(I8,0)))</f>
        <v/>
      </c>
      <c r="K8" s="14">
        <f>IF(J8="",5,IF(J8=0,10,IF(J8&lt;4,1,0)))</f>
        <v>5</v>
      </c>
      <c r="L8" s="14"/>
      <c r="M8" s="189" t="str">
        <f t="shared" ref="M8:M15" si="72">IF(D8="","",IF(D8="k",0,D8))</f>
        <v/>
      </c>
      <c r="N8" s="189" t="str">
        <f t="shared" si="0"/>
        <v/>
      </c>
      <c r="O8" s="189" t="str">
        <f>IF(J8="","",J8)</f>
        <v/>
      </c>
      <c r="P8" s="12"/>
      <c r="Q8" s="88"/>
      <c r="R8" s="92">
        <f t="shared" ref="R8:R14" si="73">MIN(M8:N8)</f>
        <v>0</v>
      </c>
      <c r="S8" s="98" t="str">
        <f>IF(O8&lt;&gt;"","",IF(COUNT(M8:N8)=0,"",AVERAGE(M8:N8)))</f>
        <v/>
      </c>
      <c r="T8" s="99">
        <f>IF(O8&lt;&gt;"","",IF(COUNT(M8:N8)&lt;2,MIN(M8:N8),(SUM(M8:N8)-MIN(M8:N8))/(COUNT(M8:N8)-1)))</f>
        <v>0</v>
      </c>
      <c r="U8" s="99" t="str">
        <f>IF(O8="","",IF(COUNT(M8:N8)=0,O8,SUM(IF(M8="",0,M8),IF(N8="",0,N8),2*O8)/(COUNT(M8:N8)+2)))</f>
        <v/>
      </c>
      <c r="V8" s="99" t="str">
        <f>IF(O8="","",IF(COUNT(M8:N8)=0,"",IF(COUNT(M8:N8)&lt;2,(MIN(M8:N8)+2*O8)/3,(SUM(IF(M8="",0,M8),IF(N8="",0,N8),2*O8)-MIN(M8:N8))/((COUNT(M8:N8)-1)+2))))</f>
        <v/>
      </c>
      <c r="W8" s="99" t="str">
        <f t="shared" ref="W8:W14" si="74">IF(U8="",S8,U8)</f>
        <v/>
      </c>
      <c r="X8" s="99">
        <f t="shared" ref="X8:X14" si="75">IF(V8="",T8,V8)</f>
        <v>0</v>
      </c>
      <c r="Y8" s="99" t="str">
        <f t="shared" ref="Y8:Y14" si="76">IF(OR(W8="",X8=""),"",W8-X8)</f>
        <v/>
      </c>
      <c r="Z8" s="101">
        <f t="shared" ref="Z8:Z14" si="77">_xlfn.RANK.EQ(R8,$R$7:$R$17,1)</f>
        <v>1</v>
      </c>
      <c r="AA8" s="78">
        <f t="shared" ref="AA8:AA17" si="78">IFERROR(IF(R8="","",R8+ROW()/100),"")</f>
        <v>0.08</v>
      </c>
      <c r="AB8" s="78" t="str">
        <f t="shared" ref="AB8:AB17" si="79">IFERROR(IF(R8="","",IF($Q$20=0,"","")),"")</f>
        <v/>
      </c>
      <c r="AC8" s="78" t="str">
        <f t="shared" ref="AC8:AC17" si="80">IFERROR(IF(R8="","",IF($Q$20=1,IF(OR(AA8=SMALL($AA$8:$AA$17,1),AA8=SMALL($AA$8:$AA$17,2)),R8,""),"")),"")</f>
        <v/>
      </c>
      <c r="AD8" s="78" t="str">
        <f t="shared" ref="AD8:AD17" si="81">IFERROR(IF(R8="","",IF($Q$20=2,IF(OR(AA8=SMALL($AA$8:$AA$17,1),AA8=SMALL($AA$8:$AA$17,2),AA8=SMALL($AA$8:$AA$17,3),AA8=SMALL($AA$8:$AA$17,4)),R8,""),"")),"")</f>
        <v/>
      </c>
      <c r="AE8" s="78" t="str">
        <f t="shared" ref="AE8:AE17" si="82">IF(W8="","",IF(W8&lt;1,0,ROUND(W8,0)))</f>
        <v/>
      </c>
      <c r="AF8" s="78" t="str">
        <f>IF(AE8="","",INDEX(Noten_tab[],MATCH(AE8,Noten_tab[Punkte],0),2))</f>
        <v/>
      </c>
      <c r="AG8" s="110" t="str">
        <f t="shared" si="1"/>
        <v/>
      </c>
      <c r="AH8" s="154">
        <f>IF($C8="aut.",((Z8*300)),"")</f>
        <v>300</v>
      </c>
      <c r="AI8" s="31" t="str">
        <f>IFERROR(IF($AF$22&gt;2,IF(AND($C8="aut.",W8&lt;3.5,X8&gt;=3.5),200,IF(AND($C8="nein",W8&lt;3.5,X8&gt;=3.5),5000,IF(AND($C8="ja",W8&lt;3.5,X8&gt;=3.5),Z8,""))),
IF(AND($BC$52=390,$AF$22=2,$AF$28&lt;156),IF(AND($C8="aut.",W8&lt;3.5,X8&gt;=3.5),200,IF(AND($C8="nein",W8&lt;3.5,X8&gt;=3.5),5000,IF(AND($C8="ja",W8&lt;3.5,X8&gt;=3.5),Z8,""))),
IF(AND($BC$52=390,$AF$22=1,$AF$28&lt;130),IF(AND($C8="aut.",W8&lt;3.5,X8&gt;=3.5),200,IF(AND($C8="nein",W8&lt;3.5,X8&gt;=3.5),5000,IF(AND($C8="ja",W8&lt;3.5,X8&gt;=3.5),Z8,""))),
IF(AND($BC$52=420,$AF$22=2,$AF$28&lt;168),IF(AND($C8="aut.",W8&lt;3.5,X8&gt;=3.5),200,IF(AND($C8="nein",W8&lt;3.5,X8&gt;=3.5),5000,IF(AND($C8="ja",W8&lt;3.5,X8&gt;=3.5),Z8,""))),
IF(AND($BC$52=420,$AF$22=1,$AF$28&lt;140),IF(AND($C8="aut.",W8&lt;3.5,X8&gt;=3.5),200,IF(AND($C8="nein",W8&lt;3.5,X8&gt;=3.5),5000,IF(AND($C8="ja",W8&lt;3.5,X8&gt;=3.5),Z8,""))),""))))),"")</f>
        <v/>
      </c>
      <c r="AJ8" s="111" t="str">
        <f t="shared" si="3"/>
        <v/>
      </c>
      <c r="AK8" s="108" t="str">
        <f t="shared" ref="AK8:AK14" si="83">IF(AND(D8="",E8=""),"",MIN(AG8:AJ8))</f>
        <v/>
      </c>
      <c r="AL8" s="118" t="str">
        <f t="shared" ref="AL8:AL14" si="84">IF(AK8="","",AK8+((15+Y8)/100)+(W8/100000)+(X8/100000000)+(ROW(AK8)/100000000000))</f>
        <v/>
      </c>
      <c r="AM8" s="110" t="str">
        <f t="shared" ref="AM8:AM14" si="85">IF(AK8="","",IF($Q$20=0,"",""))</f>
        <v/>
      </c>
      <c r="AN8" s="78" t="str">
        <f t="shared" ref="AN8:AN14" si="86">IF(AK8="","",IF($Q$20=1,IF(AL8=SMALL($AL$7:$AL$17,1),1,IF(AL8=SMALL($AL$7:$AL$17,2),2,"")),""))</f>
        <v/>
      </c>
      <c r="AO8" s="111" t="str">
        <f t="shared" ref="AO8:AO14" si="87">IF(AK8="","",IF($Q$20=2,IF(AL8=SMALL($AL$7:$AL$17,1),1,IF(AL8=SMALL($AL$7:$AL$17,2),2,IF(AL8=SMALL($AL$7:$AL$17,3),3,IF(AL8=SMALL($AL$7:$AL$17,4),4,"")))),""))</f>
        <v/>
      </c>
      <c r="AP8" s="92" t="str">
        <f t="shared" si="4"/>
        <v/>
      </c>
      <c r="AQ8" s="108" t="str">
        <f t="shared" ref="AQ8:AQ14" si="88">IF(D8="","",_xlfn.RANK.EQ(M8,$M8:$N8,1)+COLUMN(D8)/100)</f>
        <v/>
      </c>
      <c r="AR8" s="109" t="str">
        <f t="shared" ref="AR8:AR14" si="89">IF(E8="","",_xlfn.RANK.EQ(N8,$M8:$N8,1)+COLUMN(E8)/100)</f>
        <v/>
      </c>
      <c r="AS8" s="91" t="str">
        <f t="shared" ref="AS8:AS14" si="90">IF($BE$22&gt;16,"ja","nein")</f>
        <v>ja</v>
      </c>
      <c r="AT8" s="108" t="str">
        <f t="shared" ref="AT8:AT14" si="91">IF(AS8="nein","",IF($AP8="","",IF(AQ8=MIN($AQ8:$AR8),"aus","")))</f>
        <v/>
      </c>
      <c r="AU8" s="109" t="str">
        <f t="shared" ref="AU8:AU14" si="92">IF(AS8="nein","",IF($AP8="","",IF(AR8=MIN($AQ8:$AR8),"aus","")))</f>
        <v/>
      </c>
      <c r="AV8" s="77"/>
      <c r="AW8" s="110" t="str">
        <f t="shared" ref="AW8:AW14" si="93">IF(LEFT(BC8,1)="(","",BC8)</f>
        <v/>
      </c>
      <c r="AX8" s="78" t="str">
        <f>IF(LEFT(BD8,1)="(","",BD8)</f>
        <v/>
      </c>
      <c r="AY8" s="78">
        <f t="shared" si="5"/>
        <v>0</v>
      </c>
      <c r="AZ8" s="111">
        <f t="shared" si="6"/>
        <v>0</v>
      </c>
      <c r="BA8" s="77"/>
      <c r="BB8" s="11" t="str">
        <f t="shared" si="7"/>
        <v>Deutsch</v>
      </c>
      <c r="BC8" s="22" t="str">
        <f t="shared" si="8"/>
        <v/>
      </c>
      <c r="BD8" s="22" t="str">
        <f t="shared" si="8"/>
        <v/>
      </c>
      <c r="BE8" s="10"/>
      <c r="BF8" s="30" t="str">
        <f>IFERROR(IF(J8="","",J8),"")</f>
        <v/>
      </c>
      <c r="BG8" s="136"/>
      <c r="BH8" s="274" t="str">
        <f>IF(AZ8=0,"",IF(J8="",ROUND((AY8/AZ8),2),IF(AZ8=0,"",ROUND((AY8+(2*J8))/(2+AZ8),2))))</f>
        <v/>
      </c>
      <c r="BI8" s="274"/>
      <c r="BJ8" s="275" t="str">
        <f>IF(BH8="","",IF(BH8&lt;1,0,ROUND(BH8,0)))</f>
        <v/>
      </c>
      <c r="BK8" s="275"/>
      <c r="BL8" s="168" t="str">
        <f>IF(BH8="","",INDEX(Noten_tab[],MATCH(BJ8,Noten_tab[Punkte],0),2))</f>
        <v/>
      </c>
      <c r="BM8" s="5" t="str">
        <f t="shared" si="9"/>
        <v/>
      </c>
      <c r="BN8" s="78"/>
      <c r="BO8" s="10"/>
      <c r="BP8" s="143">
        <f t="shared" si="10"/>
        <v>0</v>
      </c>
      <c r="BQ8" s="99" t="str">
        <f>IF(O8&lt;&gt;"","",IF(COUNT(M8:N8)=0,"",AVERAGE(M8:N8)))</f>
        <v/>
      </c>
      <c r="BR8" s="99">
        <f>IF(O8&lt;&gt;"","",IF(COUNT(M8:N8)&lt;2,MIN(M8:N8),(SUM(M8:N8)-MIN(M8:N8))/(COUNT(M8:N8)-1)))</f>
        <v>0</v>
      </c>
      <c r="BS8" s="99" t="str">
        <f>IF(O8="","",IF(COUNT(M8:N8)=0,O8,SUM(IF(M8="",0,M8),IF(N8="",0,N8),2*O8)/(COUNT(M8:N8)+2)))</f>
        <v/>
      </c>
      <c r="BT8" s="99" t="str">
        <f>IF(O8="","",IF(COUNT(M8:N8)=0,"",IF(COUNT(M8:N8)&lt;2,(MIN(M8:N8)+2*O8)/3,(SUM(IF(M8="",0,M8),IF(N8="",0,N8),2*O8)-MIN(M8:N8))/((COUNT(M8:N8)-1)+2))))</f>
        <v/>
      </c>
      <c r="BU8" s="99" t="str">
        <f t="shared" ref="BU8:BU14" si="94">IF(BS8="",BQ8,BS8)</f>
        <v/>
      </c>
      <c r="BV8" s="99">
        <f t="shared" ref="BV8:BV14" si="95">IF(BT8="",BR8,BT8)</f>
        <v>0</v>
      </c>
      <c r="BW8" s="99" t="str">
        <f t="shared" ref="BW8:BW14" si="96">IF(OR(BU8="",BV8=""),"",BU8-BV8)</f>
        <v/>
      </c>
      <c r="BX8" s="101">
        <f t="shared" ref="BX8:BX14" si="97">_xlfn.RANK.EQ(BP8,$BP$7:$BP$17,1)</f>
        <v>1</v>
      </c>
      <c r="BY8" s="110" t="str">
        <f t="shared" si="11"/>
        <v/>
      </c>
      <c r="BZ8" s="154">
        <f>IF($C8="aut.",((BX8*300)),"")</f>
        <v>300</v>
      </c>
      <c r="CA8" s="31" t="str">
        <f t="shared" si="12"/>
        <v/>
      </c>
      <c r="CB8" s="111" t="str">
        <f t="shared" si="13"/>
        <v/>
      </c>
      <c r="CC8" s="108" t="str">
        <f t="shared" si="14"/>
        <v/>
      </c>
      <c r="CD8" s="118" t="str">
        <f t="shared" ref="CD8:CD14" si="98">IF(CC8="","",CC8+((15+BW8)/100)+(BU8/100000)+(BV8/100000000)+(ROW(CC8)/100000000000))</f>
        <v/>
      </c>
      <c r="CE8" s="110" t="str">
        <f t="shared" ref="CE8:CE14" si="99">IF(CC8="","",IF($Q$20=0,"",""))</f>
        <v/>
      </c>
      <c r="CF8" s="78" t="str">
        <f t="shared" si="15"/>
        <v/>
      </c>
      <c r="CG8" s="111" t="str">
        <f t="shared" si="16"/>
        <v/>
      </c>
      <c r="CH8" s="92" t="str">
        <f t="shared" si="17"/>
        <v/>
      </c>
      <c r="CI8" s="108" t="str">
        <f t="shared" si="18"/>
        <v/>
      </c>
      <c r="CJ8" s="109" t="str">
        <f t="shared" si="18"/>
        <v/>
      </c>
      <c r="CK8" s="91" t="str">
        <f t="shared" ref="CK8:CK14" si="100">IF($CW$22&gt;16,"ja","nein")</f>
        <v>ja</v>
      </c>
      <c r="CL8" s="108" t="str">
        <f t="shared" ref="CL8:CL14" si="101">IF(CK8="nein","",IF($CH8="","",IF(CI8=MIN($CI8:$CJ8),"aus","")))</f>
        <v/>
      </c>
      <c r="CM8" s="109" t="str">
        <f t="shared" ref="CM8:CM14" si="102">IF(CK8="nein","",IF($CH8="","",IF(CJ8=MIN($CI8:$CJ8),"aus","")))</f>
        <v/>
      </c>
      <c r="CN8" s="77"/>
      <c r="CO8" s="110" t="str">
        <f t="shared" si="19"/>
        <v/>
      </c>
      <c r="CP8" s="78" t="str">
        <f t="shared" si="19"/>
        <v/>
      </c>
      <c r="CQ8" s="78">
        <f t="shared" si="20"/>
        <v>0</v>
      </c>
      <c r="CR8" s="111">
        <f t="shared" si="21"/>
        <v>0</v>
      </c>
      <c r="CT8" s="84" t="str">
        <f t="shared" ref="CT8:CT17" si="103">IF(OR($B$20="Fachgebundene Hochschulreife",AND($B$20="Allgemeine Hochschulreife",$B$22="Ausgewiesenes Sprachniveau B1 durch andere Schule")),"",B8)</f>
        <v>Deutsch</v>
      </c>
      <c r="CU8" s="22" t="str">
        <f t="shared" si="22"/>
        <v/>
      </c>
      <c r="CV8" s="22" t="str">
        <f t="shared" si="22"/>
        <v/>
      </c>
      <c r="CW8" s="10"/>
      <c r="CX8" s="30" t="str">
        <f>IFERROR(IF(J8="","",J8),"")</f>
        <v/>
      </c>
      <c r="CY8" s="135"/>
      <c r="CZ8" s="274" t="str">
        <f>IF(CR8=0,"",IF(J8="",ROUND((CQ8/CR8),2),IF(CR8=0,"",ROUND((CQ8+(2*J8))/(2+CR8),2))))</f>
        <v/>
      </c>
      <c r="DA8" s="274"/>
      <c r="DB8" s="275" t="str">
        <f t="shared" ref="DB8:DB17" si="104">IF(CZ8="","",IF(CZ8&lt;1,0,ROUND(CZ8,0)))</f>
        <v/>
      </c>
      <c r="DC8" s="275"/>
      <c r="DD8" s="168" t="str">
        <f>IF(CZ8="","",INDEX(Noten_tab[],MATCH(DB8,Noten_tab[Punkte],0),2))</f>
        <v/>
      </c>
      <c r="DE8" s="5" t="str">
        <f t="shared" si="23"/>
        <v/>
      </c>
      <c r="DH8" s="110" t="str">
        <f t="shared" si="24"/>
        <v/>
      </c>
      <c r="DI8" s="5">
        <f t="shared" si="24"/>
        <v>0</v>
      </c>
      <c r="DJ8" s="5" t="str">
        <f>IF(DH8="","",INDEX(Noten_tab[],MATCH(DH8,Noten_tab[Punkte],0),3))</f>
        <v/>
      </c>
      <c r="DK8" s="5">
        <f>IF(DI8="","",INDEX(Noten_tab[],MATCH(DI8,Noten_tab[Punkte],0),3))</f>
        <v>6</v>
      </c>
      <c r="DL8" s="75" t="str">
        <f t="shared" si="25"/>
        <v>Verbesserung</v>
      </c>
      <c r="DM8" s="5" t="str">
        <f t="shared" ref="DM8:DM17" si="105">IFERROR(IF(DL8="","",DJ8-DK8),"")</f>
        <v/>
      </c>
      <c r="DN8" s="75" t="str">
        <f t="shared" si="26"/>
        <v/>
      </c>
      <c r="DO8" s="5">
        <f t="shared" si="27"/>
        <v>0</v>
      </c>
      <c r="DP8" s="201" t="str">
        <f>IFERROR(IF(DO8="","",$BE$27-INDEX(Schnitt_von_bis_390_tab[],MATCH($BE$28,Schnitt_von_bis_390_tab[Schnitt],0),3)),"")</f>
        <v/>
      </c>
      <c r="DQ8" s="190" t="str">
        <f t="shared" ref="DQ8:DQ17" si="106">IF(DM8="","",_xlfn.RANK.EQ(DM8,$DM$7:$DM$17)+DO8/100+DK8/1000+(ROW(DM8)/10000000))</f>
        <v/>
      </c>
      <c r="DR8" s="191" t="str">
        <f t="shared" ref="DR8:DR17" si="107">IF(DN8="","",_xlfn.RANK.EQ(DO8,$DO$7:$DO$17)+DJ8/10+(ROW(DO8)/10000000))</f>
        <v/>
      </c>
      <c r="DS8" s="192" t="str">
        <f t="shared" ref="DS8:DS17" si="108">IFERROR(IF(DO8="","",IF($BM$18=1,1,IF($BM$18=2,2,""))),"")</f>
        <v/>
      </c>
      <c r="DT8" s="78">
        <f t="shared" ref="DT8:DT17" si="109">IFERROR(IF(DO8="","",IF(AND($BC$52=390,DS8=1),130,IF(AND($BC$52=390,DS8=2),156,0))),"")</f>
        <v>0</v>
      </c>
      <c r="DU8" s="193" t="str">
        <f t="shared" ref="DU8:DU17" si="110">IFERROR(IF(DO8="","",$BE$27-DT8),"")</f>
        <v/>
      </c>
      <c r="DV8" s="194">
        <f t="shared" ref="DV8:DV17" si="111">IFERROR(IF(DO8="","",MIN(DP8,DU8)),"")</f>
        <v>0</v>
      </c>
      <c r="DW8" s="5" t="str">
        <f t="shared" ref="DW8:DW17" si="112">IFERROR(IF(COUNT($DM$7:$DM$17)&lt;1,"",IF(DQ8="","",IF(DQ8=SMALL($DQ$7:$DQ$17,1),DO8,""))),"")</f>
        <v/>
      </c>
      <c r="DX8" s="5" t="str">
        <f t="shared" ref="DX8:DX17" si="113">IFERROR(IF(COUNT($DM$7:$DM$17)&lt;1,"",IF(DR8="","",IF(DR8=SMALL($DR$7:$DR$17,1),DO8,""))),"")</f>
        <v/>
      </c>
      <c r="DY8" s="192" t="str">
        <f t="shared" ref="DY8:DY17" si="114">IFERROR(IF(COUNT($DM$7:$DM$17)&lt;2,"",IF(DQ8="","",IF(DQ8=SMALL($DQ$7:$DQ$17,2),DO8,""))),"")</f>
        <v/>
      </c>
      <c r="DZ8" s="5" t="str">
        <f t="shared" ref="DZ8:DZ17" si="115">IFERROR(IF(COUNT($DM$7:$DM$17)&lt;2,"",IF(DR8="","",IF(DR8=SMALL($DR$7:$DR$17,2),DO8,""))),"")</f>
        <v/>
      </c>
      <c r="EA8" s="192" t="str">
        <f t="shared" ref="EA8:EA17" si="116">IFERROR(IF(COUNT($DM$7:$DM$17)&lt;3,"",IF(DQ8="","",IF(DQ8=SMALL($DQ$7:$DQ$17,3),DO8,""))),"")</f>
        <v/>
      </c>
      <c r="EB8" s="5" t="str">
        <f t="shared" ref="EB8:EB17" si="117">IFERROR(IF(COUNT($DM$7:$DM$17)&lt;3,"",IF(DR8="","",IF(DR8=SMALL($DR$7:$DR$17,3),DO8,""))),"")</f>
        <v/>
      </c>
      <c r="EC8" s="192" t="str">
        <f t="shared" ref="EC8:EC17" si="118">IFERROR(IF(COUNT($DM$7:$DM$17)&lt;4,"",IF(DQ8="","",IF(DQ8=SMALL($DQ$7:$DQ$17,4),DO8,""))),"")</f>
        <v/>
      </c>
      <c r="ED8" s="5" t="str">
        <f t="shared" ref="ED8:ED17" si="119">IFERROR(IF(COUNT($DM$7:$DM$17)&lt;4,"",IF(DR8="","",IF(DR8=SMALL($DR$7:$DR$17,4),DO8,""))),"")</f>
        <v/>
      </c>
      <c r="EE8" s="192" t="str">
        <f t="shared" ref="EE8:EE17" si="120">IFERROR(IF(COUNT($DM$7:$DM$17)&lt;5,"",IF(DQ8="","",IF(DQ8=SMALL($DQ$7:$DQ$17,5),DO8,""))),"")</f>
        <v/>
      </c>
      <c r="EF8" s="111" t="str">
        <f t="shared" ref="EF8:EF17" si="121">IFERROR(IF(COUNT($DM$7:$DM$17)&lt;5,"",IF(DR8="","",IF(DR8=SMALL($DR$7:$DR$17,5),DO8,""))),"")</f>
        <v/>
      </c>
      <c r="EG8" s="5" t="str">
        <f t="shared" ref="EG8:EG17" si="122">IFERROR(IF(COUNT($DW$7:$DW$17,$DX$7:$DX$17)&lt;&gt;2,"",
(IF(AND(DW8="",DX8=""),"",
IF($DV8&lt;(SMALL($DW$7:$DW$17,1)-SMALL($DX$7:$DX$17,1)),"",
(SMALL($DW$7:$DW$17,1)-SMALL($DX$7:$DX$17,1)))))),"")</f>
        <v/>
      </c>
      <c r="EH8" s="5" t="str">
        <f t="shared" ref="EH8:EH17" si="123">IFERROR(IF(COUNT($DW$7:$DW$17,$DZ$7:$DZ$17)&lt;&gt;2,"",
IF(AND(DW8="",DZ8=""),"",
IF(COUNT($EG$7:$EG$17)&gt;0,"",
IF($DV8&lt;(SMALL($DW$7:$DW$17,1)-SMALL($DZ$7:$DZ$17,1)),"",
(SMALL($DW$7:$DW$17,1)-SMALL($DZ$7:$DZ$17,1)))))),"")</f>
        <v/>
      </c>
      <c r="EI8" s="5" t="str">
        <f t="shared" ref="EI8:EI17" si="124">IFERROR(IF(COUNT($DW$7:$DW$17,$EB$7:$EB$17)&lt;&gt;2,"",
IF(AND(DW8="",EB8=""),"",
IF(COUNT($EG$7:$EH$17)&gt;0,"",
IF($DV8&lt;(SMALL($DW$7:$DW$17,1)-SMALL($EB$7:$EB$17,1)),"",
(SMALL($DW$7:$DW$17,1)-SMALL($EB$7:$EB$17,1)))))),"")</f>
        <v/>
      </c>
      <c r="EJ8" s="5" t="str">
        <f t="shared" ref="EJ8:EJ17" si="125">IFERROR(IF(COUNT($DW$7:$DW$17,$ED$7:$ED$17)&lt;&gt;2,"",
IF(AND(DW8="",ED8=""),"",
IF(COUNT($EG$7:$EI$17)&gt;0,"",
IF($DV8&lt;(SMALL($DW$7:$DW$17,1)-SMALL($ED$7:$ED$17,1)),"",
(SMALL($DW$7:$DW$17,1)-SMALL($ED$7:$ED$17,1)))))),"")</f>
        <v/>
      </c>
      <c r="EK8" s="5" t="str">
        <f t="shared" ref="EK8:EK17" si="126">IFERROR(IF(COUNT($DW$7:$DW$17,$EF$7:$EF$17)&lt;&gt;2,"",
IF(AND(DW8="",EF8=""),"",
IF(COUNT($EG$7:$EJ$17)&gt;0,"",
IF($DV8&lt;(SMALL($DW$7:$DW$17,1)-SMALL($EF$7:$EF$17,1)),"",
(SMALL($DW$7:$DW$17,1)-SMALL($EF$7:$EF$17,1)))))),"")</f>
        <v/>
      </c>
      <c r="EL8" s="192" t="str">
        <f t="shared" ref="EL8:EL17" si="127">IFERROR(IF(COUNT($DY$7:$DY$17,$DX$7:$DX$17)&lt;&gt;2,"",
IF(AND(DY8="",DX8=""),"",
IF(COUNT($EG$7:$EG$17)&gt;0,"",
IF($DV8&lt;(SMALL($DY$7:$DY$17,1)-SMALL($DX$7:$DX$17,1)),"",
(SMALL($DY$7:$DY$17,1)-SMALL($DX$7:$DX$17,1)))))),"")</f>
        <v/>
      </c>
      <c r="EM8" s="78" t="str">
        <f t="shared" ref="EM8:EM17" si="128">IFERROR(IF(COUNT($DY$7:$DY$17,$DZ$7:$DZ$17)&lt;&gt;2,"",
IF(AND(DY8="",DZ8=""),"",
IF(COUNT($EH$7:$EH$17)&gt;0,"",
IF(COUNT($EL$7:$EL$17)&gt;0,"",
IF($DV8&lt;(SMALL($DY$7:$DY$17,1)-SMALL($DZ$7:$DZ$17,1)),"",
(SMALL($DY$7:$DY$17,1)-SMALL($DZ$7:$DZ$17,1))))))),"")</f>
        <v/>
      </c>
      <c r="EN8" s="78" t="str">
        <f t="shared" ref="EN8:EN17" si="129">IFERROR(IF(COUNT($DY$7:$DY$17,$EB$7:$EB$17)&lt;&gt;2,"",
IF(AND(DY8="",EB8=""),"",
IF(COUNT($EI$7:$EI$17)&gt;0,"",
IF(COUNT($EL$7:$EM$17)&gt;0,"",
IF($DV8&lt;(SMALL($DY$7:$DY$17,1)-SMALL($EB$7:$EB$17,1)),"",
(SMALL($DY$7:$DY$17,1)-SMALL($EB$7:$EB$17,1))))))),"")</f>
        <v/>
      </c>
      <c r="EO8" s="78" t="str">
        <f t="shared" ref="EO8:EO17" si="130">IFERROR(IF(COUNT($DY$7:$DY$17,$ED$7:$ED$17)&lt;&gt;2,"",
IF(AND(DY8="",ED8=""),"",
IF(COUNT($EJ$7:$EJ$17)&gt;0,"",
IF(COUNT($EL$7:$EN$17)&gt;0,"",
IF($DV8&lt;(SMALL($DY$7:$DY$17,1)-SMALL($ED$7:$ED$17,1)),"",
(SMALL($DY$7:$DY$17,1)-SMALL($ED$7:$ED$17,1))))))),"")</f>
        <v/>
      </c>
      <c r="EP8" s="193" t="str">
        <f t="shared" ref="EP8:EP17" si="131">IFERROR(IF(COUNT($DY$7:$DY$17,$EF$7:$EF$17)&lt;&gt;2,"",
IF(AND(DY8="",EF8=""),"",
IF(COUNT($EK$7:$EK$17)&gt;0,"",
IF(COUNT($EL$7:$EO$17)&gt;0,"",
IF($DV8&lt;(SMALL($DY$7:$DY$17,1)-SMALL($EF$7:$EF$17,1)),"",
(SMALL($DY$7:$DY$17,1)-SMALL($EF$7:$EF$17,1))))))),"")</f>
        <v/>
      </c>
      <c r="EQ8" s="5" t="str">
        <f t="shared" ref="EQ8:EQ17" si="132">IFERROR(IF(COUNT($EA$7:$EA$17,$DX$7:$DX$17)&lt;&gt;2,"",
IF(AND(EA8="",DX8=""),"",
IF(COUNT($EG$7:$EG$17,$EL$7:$EL$17)&gt;0,"",
IF($DV8&lt;(SMALL($EA$7:$EA$17,1)-SMALL($DX$7:$DX$17,1)),"",
(SMALL($EA$7:$EA$17,1)-SMALL($DX$7:$DX$17,1)))))),"")</f>
        <v/>
      </c>
      <c r="ER8" s="5" t="str">
        <f t="shared" ref="ER8:ER17" si="133">IFERROR(IF(COUNT($EA$7:$EA$17,$DZ$7:$DZ$17)&lt;&gt;2,"",
IF(AND(EA8="",DZ8=""),"",
IF(COUNT($EH$7:$EH$17,$EM$7:$EM$17)&gt;0,"",
IF(COUNT($EQ$7:$EQ$17)&gt;0,"",
IF($DV8&lt;(SMALL($EA$7:$EA$17,1)-SMALL($DZ$7:$DZ$17,1)),"",
(SMALL($EA$7:$EA$17,1)-SMALL($DZ$7:$DZ$17,1))))))),"")</f>
        <v/>
      </c>
      <c r="ES8" s="5" t="str">
        <f t="shared" ref="ES8:ES17" si="134">IFERROR(IF(COUNT($EA$7:$EA$17,$EB$7:$EB$17)&lt;&gt;2,"",
IF(AND(EA8="",EB8=""),"",
IF(COUNT($EI$7:$EI$17,$EN$7:$EN$17)&gt;0,"",
IF(COUNT($EQ$7:$ER$17)&gt;0,"",
IF($DV8&lt;(SMALL($EA$7:$EA$17,1)-SMALL($EB$7:$EB$17,1)),"",
(SMALL($EA$7:$EA$17,1)-SMALL($EB$7:$EB$17,1))))))),"")</f>
        <v/>
      </c>
      <c r="ET8" s="5" t="str">
        <f t="shared" ref="ET8:ET17" si="135">IFERROR(IF(COUNT($EA$7:$EA$17,$ED$7:$ED$17)&lt;&gt;2,"",
IF(AND(EA8="",ED8=""),"",
IF(COUNT($EJ$7:$EJ$17,$EO$7:$EO$17)&gt;0,"",
IF(COUNT($EQ$7:$ES$17)&gt;0,"",
IF($DV8&lt;(SMALL($EA$7:$EA$17,1)-SMALL($ED$7:$ED$17,1)),"",
(SMALL($EA$7:$EA$17,1)-SMALL($ED$7:$ED$17,1))))))),"")</f>
        <v/>
      </c>
      <c r="EU8" s="5" t="str">
        <f t="shared" ref="EU8:EU17" si="136">IFERROR(IF(COUNT($EA$7:$EA$17,$EF$7:$EF$17)&lt;&gt;2,"",
IF(AND(EA8="",EF8=""),"",
IF(COUNT($EK$7:$EK$17,$EP$7:$EP$17)&gt;0,"",
IF(COUNT($EQ$7:$ET$17)&gt;0,"",
IF($DV8&lt;(SMALL($EA$7:$EA$17,1)-SMALL($EF$7:$EF$17,1)),"",
(SMALL($EA$7:$EA$17,1)-SMALL($EF$7:$EF$17,1))))))),"")</f>
        <v/>
      </c>
      <c r="EV8" s="192" t="str">
        <f t="shared" ref="EV8:EV17" si="137">IFERROR(IF(COUNT($EC$7:$EC$17,$DX$7:$DX$17)&lt;&gt;2,"",
IF(AND(EC8="",DX8=""),"",
IF(COUNT($EG$7:$EG$17,$EL$7:$EL$17,$EQ$7:$EQ$17)&gt;0,"",
IF($DV8&lt;(SMALL($EC$7:$EC$17,1)-SMALL($DX$7:$DX$17,1)),"",
(SMALL($EC$7:$EC$17,1)-SMALL($DX$7:$DX$17,1)))))),"")</f>
        <v/>
      </c>
      <c r="EW8" s="78" t="str">
        <f t="shared" ref="EW8:EW17" si="138">IFERROR(IF(COUNT($EC$7:$EC$17,$DZ$7:$DZ$17)&lt;&gt;2,"",
IF(AND(EC8="",DZ8=""),"",
IF(COUNT($EH$7:$EH$17,$EM$7:$EM$17,$ER$7:$ER$17)&gt;0,"",
IF(COUNT($EV$7:$EV$17)&gt;0,"",
IF($DV8&lt;(SMALL($EC$7:$EC$17,1)-SMALL($DZ$7:$DZ$17,1)),"",
(SMALL($EC$7:$EC$17,1)-SMALL($DZ$7:$DZ$17,1))))))),"")</f>
        <v/>
      </c>
      <c r="EX8" s="78" t="str">
        <f t="shared" ref="EX8:EX17" si="139">IFERROR(IF(COUNT($EC$7:$EC$17,$EB$7:$EB$17)&lt;&gt;2,"",
IF(AND(EC8="",EB8=""),"",
IF(COUNT($EI$7:$EI$17,$EN$7:$EN$17,$ES$7:$ES$17)&gt;0,"",
IF(COUNT($EV$7:$EW$17)&gt;0,"",
IF($DV8&lt;(SMALL($EC$7:$EC$17,1)-SMALL($EB$7:$EB$17,1)),"",
(SMALL($EC$7:$EC$17,1)-SMALL($EB$7:$EB$17,1))))))),"")</f>
        <v/>
      </c>
      <c r="EY8" s="78" t="str">
        <f t="shared" ref="EY8:EY17" si="140">IFERROR(IF(COUNT($EC$7:$EC$17,$ED$7:$ED$17)&lt;&gt;2,"",
IF(AND(EC8="",ED8=""),"",
IF(COUNT($EJ$7:$EJ$17,$EO$7:$EO$17,$ET$7:$ET$17)&gt;0,"",
IF(COUNT($EV$7:$EX$17)&gt;0,"",
IF($DV8&lt;(SMALL($EC$7:$EC$17,1)-SMALL($ED$7:$ED$17,1)),"",
(SMALL($EC$7:$EC$17,1)-SMALL($ED$7:$ED$17,1))))))),"")</f>
        <v/>
      </c>
      <c r="EZ8" s="193" t="str">
        <f t="shared" ref="EZ8:EZ17" si="141">IFERROR(IF(COUNT($EC$7:$EC$17,$EF$7:$EF$17)&lt;&gt;2,"",
IF(AND(EC8="",EF8=""),"",
IF(COUNT($EK$7:$EK$17,$EP$7:$EP$17,$EU$7:$EU$17)&gt;0,"",
IF(COUNT($EV$7:$EY$17)&gt;0,"",
IF($DV8&lt;(SMALL($EC$7:$EC$17,1)-SMALL($EF$7:$EF$17,1)),"",
(SMALL($EC$7:$EC$17,1)-SMALL($EF$7:$EF$17,1))))))),"")</f>
        <v/>
      </c>
      <c r="FA8" s="5" t="str">
        <f t="shared" ref="FA8:FA17" si="142">IFERROR(IF(COUNT($EE$7:$EE$17,$DX$7:$DX$17)&lt;&gt;2,"",
IF(AND(EE8="",DK8=""),"",
IF(COUNT($EG$7:$EG$17,$EL$7:$EL$17,$EQ$7:$EQ$17,$EV$7:$EV$17)&gt;0,"",
IF($DV8&lt;(SMALL($EE$7:$EE$17,1)-SMALL($DX$7:$DX$17,1)),"",
(SMALL($EE$7:$EE$17,1)-SMALL($DX$7:$DX$17,1)))))),"")</f>
        <v/>
      </c>
      <c r="FB8" s="5" t="str">
        <f t="shared" ref="FB8:FB17" si="143">IFERROR(IF(COUNT($EE$7:$EE$17,$DZ$7:$DZ$17)&lt;&gt;2,"",
IF(AND(DZ8="",EE8=""),"",
IF(COUNT($EH$7:$EH$17,$EM$7:$EM$17,$ER$7:$ER$17,$EW$7:$EW$17)&gt;0,"",
IF(COUNT($FA$7:$FA$17)&gt;0,"",
IF($DV8&lt;(SMALL($EE$7:$EE$17,1)-SMALL($DZ$7:$DZ$17,1)),"",
(SMALL($EE$7:$EE$17,1)-SMALL($DZ$7:$DZ$17,1))))))),"")</f>
        <v/>
      </c>
      <c r="FC8" s="5" t="str">
        <f t="shared" ref="FC8:FC17" si="144">IFERROR(IF(COUNT($EE$7:$EE$17,$EB$7:$EB$17)&lt;&gt;2,"",
IF(AND(EE8="",EB8=""),"",
IF(COUNT($EH$7:$EH$17,$EM$7:$EM$17,$ER$7:$ER$17,$EW$7:$EW$17)&gt;0,"",
IF(COUNT($FA$7:$FB$17)&gt;0,"",
IF($DV8&lt;(SMALL($EE$7:$EE$17,1)-SMALL($EB$7:$EB$17,1)),"",
(SMALL($EE$7:$EE$17,1)-SMALL($EB$7:$EB$17,1))))))),"")</f>
        <v/>
      </c>
      <c r="FD8" s="5" t="str">
        <f t="shared" ref="FD8:FD17" si="145">IFERROR(IF(COUNT($EE$7:$EE$17,$ED$7:$ED$17)&lt;&gt;2,"",
IF(AND(EE8="",ED8=""),"",
IF(COUNT($EJ$7:$EJ$17,$EO$7:$EO$17,$ET$7:$ET$17,$EY$7:$EY$17)&gt;0,"",
IF(COUNT($FA$7:$FC$17)&gt;0,"",
IF($DV8&lt;(SMALL($EE$7:$EE$17,1)-SMALL($ED$7:$ED$17,1)),"",
(SMALL($EE$7:$EE$17,1)-SMALL($ED$7:$ED$17,1))))))),"")</f>
        <v/>
      </c>
      <c r="FE8" s="5" t="str">
        <f t="shared" ref="FE8:FE17" si="146">IFERROR(IF(COUNT($EE$7:$EE$17,$EF$7:$EF$17)&lt;&gt;2,"",
IF(AND(EE8="",EF8=""),"",
IF(COUNT($EK$7:$EK$17,$EP$7:$EP$17,$EU$7:$EU$17,$EZ$7:$EZ$17)&gt;0,"",
IF(COUNT($FA$7:$FD$17)&gt;0,"",
IF($DV8&lt;(SMALL($EE$7:$EE$17,1)-SMALL($EF$7:$EF$17,1)),"",
(SMALL($EE$7:$EE$17,1)-SMALL($EF$7:$EF$17,1))))))),"")</f>
        <v/>
      </c>
      <c r="FF8" s="108" t="str">
        <f t="shared" ref="FF8:FF17" si="147">IFERROR(IF(COUNT(EG8:EK8)=0,"",MAX(EG8:EK8)),"")</f>
        <v/>
      </c>
      <c r="FG8" s="75" t="str">
        <f t="shared" ref="FG8:FG17" si="148">IFERROR(IF(COUNT(EL8:EP8)=0,"",MAX(EL8:EP8)),"")</f>
        <v/>
      </c>
      <c r="FH8" s="75" t="str">
        <f t="shared" ref="FH8:FH17" si="149">IFERROR(IF(COUNT(EQ8:EU8)=0,"",MAX(EQ8:EU8)),"")</f>
        <v/>
      </c>
      <c r="FI8" s="75" t="str">
        <f t="shared" ref="FI8:FI17" si="150">IFERROR(IF(COUNT(EV8:EZ8)=0,"",MAX(EV8:EZ8)),"")</f>
        <v/>
      </c>
      <c r="FJ8" s="77" t="str">
        <f t="shared" ref="FJ8:FJ17" si="151">IFERROR(IF(COUNT(FA8:FE8)=0,"",MAX(FA8:FE8)),"")</f>
        <v/>
      </c>
      <c r="FK8" s="108" t="str">
        <f t="shared" ref="FK8:FK17" si="152">IFERROR(IF(DO8="","",IF(COUNT(FF8)=1,"vorschlagen","")),"")</f>
        <v/>
      </c>
      <c r="FL8" s="77" t="str">
        <f t="shared" ref="FL8:FL17" si="153">IFERROR(IF(DO8="","",
IF(COUNT(FG8)=0,"",
IF(DV8="","",
IF(COUNTIF($FK$7:$FK$17,"vorschlagen")=2,
IF(DV8-SMALL($FF$7:$FF$17,1)-SMALL($FG$7:$FG$17,1)&gt;=0,"vorschlagen",
IF(COUNTIF($FK$7:$FK$17,"vorschlagen")=0,
IF(DV8-SMALL($FG$7:$FG$17,1)&gt;=0,"vorschlagen",""),"")),"")))),"")</f>
        <v/>
      </c>
      <c r="FM8" s="77" t="str">
        <f t="shared" ref="FM8:FM17" si="154">IFERROR(IF(DO8="","",
IF(COUNT(FH8)=0,"",
IF(DV8="","",
IF(AND(COUNTIF($FK$7:$FK$17,"vorschlagen")=2,COUNTIF($FL$7:$FL$17,"vorschlagen")=2),
IF(DV8-SMALL($FF$7:$FF$17,1)-SMALL($FG$7:$FG$17,1)-SMALL($FH$7:$FH$17,1)&gt;=0,"vorschlagen",
IF(AND(COUNTIF($FK$7:$FK$17,"vorschlagen")=2,COUNTIF($FL$7:$FL$17,"vorschlagen")=0),
IF(DV8-SMALL($FF$7:$FF$17,1)-SMALL($FH$7:$FH$17,1)&gt;=0,"vorschlagen",""),"")),"")))),"")</f>
        <v/>
      </c>
      <c r="FN8" s="77" t="str">
        <f t="shared" ref="FN8:FN17" si="155">IFERROR(IF(DO8="","",
IF(COUNT(FI8)=0,"",
IF(DV8="","",
IF(AND(COUNTIF($FK$7:$FK$17,"vorschlagen")=2,COUNTIF($FL$7:$FL$17,"vorschlagen")=2,COUNTIF($FM$7:$FM$17,"vorschlagen")=2),
IF(DV8-SMALL($FF$7:$FF$17,1)-SMALL($FG$7:$FG$17,1)-SMALL($FH$7:$FH$17,1)-SMALL($FI$7:$FI$17,1)&gt;=0,"vorschlagen",
IF(AND(COUNTIF($FK$7:$FK$17,"vorschlagen")=2,COUNTIF($FL$7:$FL$17,"vorschlagen")=2,COUNTIF($FM$7:$FM$17,"vorschlagen")=0),
IF(DV8-SMALL($FF$7:$FF$17,1)-SMALL($FG$7:$FG$17,1)-SMALL($FI$7:$FI$17,1)&gt;=0,"vorschlagen",
IF(AND(COUNTIF($FK$7:$FK$17,"vorschlagen")=2,COUNTIF($FL$7:$FL$17,"vorschlagen")=0,COUNTIF($FM$7:$FM$17,"vorschlagen")=2),
IF(DV8-SMALL($FF$7:$FF$17,1)-SMALL($FH$7:$FH$17,1)-SMALL($FI$7:$FI$17,1)&gt;=0,"vorschlagen",
IF(AND(COUNTIF($FK$7:$FK$17,"vorschlagen")=2,COUNTIF($FL$7:$FL$17,"vorschlagen")=0,COUNTIF($FM$7:$FM$17,"vorschlagen")=0),
IF(DV8-SMALL($FF$7:$FF$17,1)-SMALL($FI$7:$FI$17,1)&gt;=0,"vorschlagen",""),"")),"")),"")),"")))),"")</f>
        <v/>
      </c>
      <c r="FO8" s="77" t="str">
        <f t="shared" ref="FO8:FO17" si="156">IFERROR(IF(DO8="","",
IF(COUNT(FJ8)=0,"",
IF(DV8="","",
IF(AND(COUNTIF($FK$7:$FK$17,"vorschlagen")=2,COUNTIF($FL$7:$FL$17,"vorschlagen")=2,COUNTIF($FM$7:$FM$17,"vorschlagen")=2,COUNTIF($FN$7:$FN$17,"vorschlagen")=2),
IF(DV8-SMALL($FF$7:$FF$17,1)-SMALL($FG$7:$FG$17,1)-SMALL($FH$7:$FH$17,1)-SMALL($FI$7:$FI$17,1)-SMALL($FJ$7:$FJ$17,1)&gt;=0,"vorschlagen",
IF(AND(COUNTIF($FK$7:$FK$17,"vorschlagen")=2,COUNTIF($FL$7:$FL$17,"vorschlagen")=2,COUNTIF($FM$7:$FM$17,"vorschlagen")=2,COUNTIF($FN$7:$FN$17,"vorschlagen")=0),
IF(DV8-SMALL($FF$7:$FF$17,1)-SMALL($FG$7:$FG$17,1)-SMALL($FH$7:$FH$17,1)-SMALL($FJ$7:$FJ$17,1)&gt;=0,"vorschlagen",
IF(AND(COUNTIF($FK$7:$FK$17,"vorschlagen")=2,COUNTIF($FL$7:$FL$17,"vorschlagen")=2,COUNTIF($FM$7:$FM$17,"vorschlagen")=0,COUNTIF($FN$7:$FN$17,"vorschlagen")=2),
IF(DV8-SMALL($FF$7:$FF$17,1)-SMALL($FG$7:$FG$17,1)-SMALL($FI$7:$FI$17,1)-SMALL($FJ$7:$FJ$17,1)&gt;=0,"vorschlagen",
IF(AND(COUNTIF($FK$7:$FK$17,"vorschlagen")=2,COUNTIF($FL$7:$FL$17,"vorschlagen")=0,COUNTIF($FM$7:$FM$17,"vorschlagen")=2,COUNTIF($FN$7:$FN$17,"vorschlagen")=2),
IF(DV8-SMALL($FF$7:$FF$17,1)-SMALL($FH$7:$FH$17,1)-SMALL($FI$7:$FI$17,1)-SMALL($FJ$7:$FJ$17,1)&gt;=0,"vorschlagen",
IF(AND(COUNTIF($FK$7:$FK$17,"vorschlagen")=2,COUNTIF($FL$7:$FL$17,"vorschlagen")=2,COUNTIF($FM$7:$FM$17,"vorschlagen")=0,COUNTIF($FN$7:$FN$17,"vorschlagen")=0),
IF(DV8-SMALL($FF$7:$FF$17,1)-SMALL($FG$7:$FG$17,1)-SMALL($FJ$7:$FJ$17,1)&gt;=0,"vorschlagen",
IF(AND(COUNTIF($FK$7:$FK$17,"vorschlagen")=2,COUNTIF($FL$7:$FL$17,"vorschlagen")=0,COUNTIF($FM$7:$FM$17,"vorschlagen")=0,COUNTIF($FN$7:$FN$17,"vorschlagen")=2),
IF(DV8-SMALL($FF$7:$FF$17,1)-SMALL($FI$7:$FI$17,1)-SMALL($FJ$7:$FJ$17,1)&gt;=0,"vorschlagen",
IF(AND(COUNTIF($FK$7:$FK$17,"vorschlagen")=2,COUNTIF($FL$7:$FL$17,"vorschlagen")=0,COUNTIF($FM$7:$FM$17,"vorschlagen")=2,COUNTIF($FN$7:$FN$17,"vorschlagen")=0),
IF(DV8-SMALL($FF$7:$FF$17,1)-SMALL($FH$7:$FH$17,1)-SMALL($FJ$7:$FJ$17,1)&gt;=0,"vorschlagen",
IF(AND(COUNTIF($FK$7:$FK$17,"vorschlagen")=2,COUNTIF($FL$7:$FL$17,"vorschlagen")=0,COUNTIF($FM$7:$FM$17,"vorschlagen")=0,COUNTIF($FN$7:$FN$17,"vorschlagen")=0),
IF(DV8-SMALL($FF$7:$FF$17,1)-SMALL($FJ$7:$FJ$17,1)&gt;=0,"vorschlagen",""),"")),"")),"")),"")),"")),"")),"")),"")))),"")</f>
        <v/>
      </c>
      <c r="FP8" s="186" t="str">
        <f t="shared" si="28"/>
        <v/>
      </c>
      <c r="FQ8" s="202">
        <f t="shared" si="29"/>
        <v>300</v>
      </c>
      <c r="FR8" s="202" t="str">
        <f t="shared" si="30"/>
        <v/>
      </c>
      <c r="FS8" s="202" t="str">
        <f t="shared" si="31"/>
        <v/>
      </c>
      <c r="FT8" s="203" t="str">
        <f t="shared" si="32"/>
        <v/>
      </c>
      <c r="FU8" s="196" t="str">
        <f t="shared" si="33"/>
        <v/>
      </c>
      <c r="FV8" s="197" t="str">
        <f t="shared" si="34"/>
        <v/>
      </c>
      <c r="FW8" s="110" t="str">
        <f t="shared" ref="FW8:FW17" si="157">IF(FU8="","",IF($Q$20=0,"",""))</f>
        <v/>
      </c>
      <c r="FX8" s="5" t="str">
        <f t="shared" si="35"/>
        <v/>
      </c>
      <c r="FY8" s="111" t="str">
        <f t="shared" si="36"/>
        <v/>
      </c>
      <c r="FZ8" s="92" t="str">
        <f t="shared" si="37"/>
        <v/>
      </c>
      <c r="GA8" s="108" t="str">
        <f t="shared" si="38"/>
        <v/>
      </c>
      <c r="GB8" s="109" t="str">
        <f t="shared" si="38"/>
        <v/>
      </c>
      <c r="GC8" s="91" t="str">
        <f t="shared" ref="GC8:GC17" si="158">IF($BE$22&gt;16,"ja","nein")</f>
        <v>ja</v>
      </c>
      <c r="GD8" s="108" t="str">
        <f t="shared" ref="GD8:GD14" si="159">IF(GC8="nein","",IF($FZ8="","",IF(GA8=MIN($GA8:$GB8),"aus","")))</f>
        <v/>
      </c>
      <c r="GE8" s="109" t="str">
        <f t="shared" ref="GE8:GE14" si="160">IF(GC8="nein","",IF($FZ8="","",IF(GB8=MIN($GA8:$GB8),"aus","")))</f>
        <v/>
      </c>
      <c r="GG8" s="110" t="str">
        <f t="shared" ref="GG8:GG14" si="161">IF(LEFT(GM8,1)="(","",GM8)</f>
        <v/>
      </c>
      <c r="GH8" s="78" t="str">
        <f>IF(LEFT(GN8,1)="(","",GN8)</f>
        <v/>
      </c>
      <c r="GI8" s="78">
        <f t="shared" si="39"/>
        <v>0</v>
      </c>
      <c r="GJ8" s="111">
        <f t="shared" si="40"/>
        <v>0</v>
      </c>
      <c r="GK8" s="77"/>
      <c r="GL8" s="11" t="str">
        <f t="shared" si="41"/>
        <v>Deutsch</v>
      </c>
      <c r="GM8" s="22" t="str">
        <f t="shared" si="42"/>
        <v/>
      </c>
      <c r="GN8" s="22" t="str">
        <f t="shared" si="42"/>
        <v/>
      </c>
      <c r="GO8" s="10"/>
      <c r="GP8" s="30" t="str">
        <f>IFERROR(IF(J8="","",J8),"")</f>
        <v/>
      </c>
      <c r="GQ8" s="136"/>
      <c r="GR8" s="274" t="str">
        <f>IF(GJ8=0,"",IF(J8="",ROUND((GI8/GJ8),2),IF(GJ8=0,"",ROUND((GI8+(2*O8))/(2+GJ8),2))))</f>
        <v/>
      </c>
      <c r="GS8" s="274"/>
      <c r="GT8" s="275" t="str">
        <f>IF(GR8="","",IF(GR8&lt;1,0,ROUND(GR8,0)))</f>
        <v/>
      </c>
      <c r="GU8" s="275"/>
      <c r="GV8" s="168" t="str">
        <f>IF(GR8="","",INDEX(Noten_tab[],MATCH(GT8,Noten_tab[Punkte],0),2))</f>
        <v/>
      </c>
      <c r="GW8" s="5" t="str">
        <f t="shared" si="43"/>
        <v/>
      </c>
      <c r="GX8" s="75"/>
      <c r="GY8" s="110" t="str">
        <f t="shared" si="44"/>
        <v/>
      </c>
      <c r="GZ8" s="5">
        <f t="shared" si="44"/>
        <v>0</v>
      </c>
      <c r="HA8" s="5" t="str">
        <f>IF(GY8="","",INDEX(Noten_tab[],MATCH(GY8,Noten_tab[Punkte],0),3))</f>
        <v/>
      </c>
      <c r="HB8" s="5">
        <f>IF(GZ8="","",INDEX(Noten_tab[],MATCH(GZ8,Noten_tab[Punkte],0),3))</f>
        <v>6</v>
      </c>
      <c r="HC8" s="75" t="str">
        <f t="shared" si="45"/>
        <v>Verbesserung</v>
      </c>
      <c r="HD8" s="5" t="str">
        <f t="shared" si="46"/>
        <v/>
      </c>
      <c r="HE8" s="75" t="str">
        <f t="shared" si="47"/>
        <v/>
      </c>
      <c r="HF8" s="5">
        <f t="shared" si="48"/>
        <v>0</v>
      </c>
      <c r="HG8" s="5">
        <f t="shared" ref="HG8:HG17" si="162">IFERROR(IF(HF8="","",$CU$56),"")</f>
        <v>390</v>
      </c>
      <c r="HH8" s="201" t="str">
        <f>IFERROR(IF(HF8="","",$CW$28-IF($CU$56=390,INDEX(Schnitt_von_bis_390_tab[],MATCH($CW$29,Schnitt_von_bis_390_tab[Schnitt],0),3),INDEX(Schnitt_von_bis_420_tab[],MATCH($CW$29,Schnitt_von_bis_420_tab[Schnitt],0),3))),"")</f>
        <v/>
      </c>
      <c r="HI8" s="198" t="str">
        <f t="shared" si="49"/>
        <v/>
      </c>
      <c r="HJ8" s="199" t="str">
        <f t="shared" si="50"/>
        <v/>
      </c>
      <c r="HK8" s="78" t="str">
        <f t="shared" ref="HK8:HK17" si="163">IFERROR(IF(HF8="","",IF($DE$18=1,1,IF($DE$18=2,2,""))),"")</f>
        <v/>
      </c>
      <c r="HL8" s="78" t="str">
        <f t="shared" ref="HL8:HL17" si="164">IFERROR(IF(HK8="","",IF(AND(HG8=390,HK8=1),130,IF(AND(HG8=390,HK8=2),156,IF(AND(HG8=420,HK8=1),140,IF(AND($CU$526=420,HK8=2),168,0))))),"")</f>
        <v/>
      </c>
      <c r="HM8" s="193" t="str">
        <f t="shared" si="51"/>
        <v/>
      </c>
      <c r="HN8" s="194">
        <f t="shared" ref="HN8:HN17" si="165">IFERROR(IF(HF8="","",MIN(HH8,HM8)),"")</f>
        <v>0</v>
      </c>
      <c r="HO8" s="5" t="str">
        <f t="shared" ref="HO8:HO17" si="166">IFERROR(IF(COUNT($HD$7:$HD$17)&lt;1,"",IF(HI8="","",IF(HI8=SMALL($HI$7:$HI$17,1),HF8,""))),"")</f>
        <v/>
      </c>
      <c r="HP8" s="5" t="str">
        <f t="shared" ref="HP8:HP17" si="167">IFERROR(IF(COUNT($HD$7:$HD$17)&lt;1,"",IF(HJ8="","",IF(HJ8=SMALL($HJ$7:$HJ$17,1),HF8,""))),"")</f>
        <v/>
      </c>
      <c r="HQ8" s="192" t="str">
        <f t="shared" ref="HQ8:HQ17" si="168">IFERROR(IF(COUNT($HD$7:$HD$17)&lt;2,"",IF(HI8="","",IF(HI8=SMALL($HI$7:$HI$17,2),HF8,""))),"")</f>
        <v/>
      </c>
      <c r="HR8" s="5" t="str">
        <f t="shared" ref="HR8:HR17" si="169">IFERROR(IF(COUNT($HD$7:$HD$17)&lt;2,"",IF(HJ8="","",IF(HJ8=SMALL($HJ$7:$HJ$17,2),HF8,""))),"")</f>
        <v/>
      </c>
      <c r="HS8" s="192" t="str">
        <f t="shared" ref="HS8:HS17" si="170">IFERROR(IF(COUNT($HD$7:$HD$17)&lt;3,"",IF(HI8="","",IF(HI8=SMALL($HI$7:$HI$17,3),HF8,""))),"")</f>
        <v/>
      </c>
      <c r="HT8" s="5" t="str">
        <f t="shared" ref="HT8:HT17" si="171">IFERROR(IF(COUNT($HD$7:$HD$17)&lt;3,"",IF(HJ8="","",IF(HJ8=SMALL($HJ$7:$HJ$17,3),HF8,""))),"")</f>
        <v/>
      </c>
      <c r="HU8" s="192" t="str">
        <f t="shared" ref="HU8:HU17" si="172">IFERROR(IF(COUNT($HD$7:$HD$17)&lt;4,"",IF(HI8="","",IF(HI8=SMALL($HI$7:$HI$17,4),HF8,""))),"")</f>
        <v/>
      </c>
      <c r="HV8" s="5" t="str">
        <f t="shared" ref="HV8:HV17" si="173">IFERROR(IF(COUNT($HD$7:$HD$17)&lt;4,"",IF(HJ8="","",IF(HJ8=SMALL($HJ$7:$HJ$17,4),HF8,""))),"")</f>
        <v/>
      </c>
      <c r="HW8" s="192" t="str">
        <f t="shared" ref="HW8:HW17" si="174">IFERROR(IF(COUNT($HD$7:$HD$17)&lt;5,"",IF(HI8="","",IF(HI8=SMALL($HI$7:$HI$17,5),HF8,""))),"")</f>
        <v/>
      </c>
      <c r="HX8" s="111" t="str">
        <f t="shared" ref="HX8:HX17" si="175">IFERROR(IF(COUNT($HD$7:$HD$17)&lt;5,"",IF(HJ8="","",IF(HJ8=SMALL($HJ$7:$HJ$17,5),HF8,""))),"")</f>
        <v/>
      </c>
      <c r="HY8" s="5" t="str">
        <f t="shared" ref="HY8:HY17" si="176">IFERROR(IF(COUNT($HO$7:$HO$17,$HP$7:$HP$17)&lt;&gt;2,"",
(IF(AND(HO8="",HP8=""),"",
IF($HN8&lt;(SMALL($HO$7:$HO$17,1)-SMALL($HP$7:$HP$17,1)),"",
(SMALL($HO$7:$HO$17,1)-SMALL($HP$7:$HP$17,1)))))),"")</f>
        <v/>
      </c>
      <c r="HZ8" s="5" t="str">
        <f t="shared" ref="HZ8:HZ17" si="177">IFERROR(IF(COUNT($HO$7:$HO$17,$HR$7:$HR$17)&lt;&gt;2,"",
IF(AND(HO8="",HR8=""),"",
IF(COUNT($HY$7:$HY$17)&gt;0,"",
IF($HN8&lt;(SMALL($HO$7:$HO$17,1)-SMALL($HR$7:$HR$17,1)),"",
(SMALL($HO$7:$HO$17,1)-SMALL($HR$7:$HR$17,1)))))),"")</f>
        <v/>
      </c>
      <c r="IA8" s="5" t="str">
        <f t="shared" ref="IA8:IA17" si="178">IFERROR(IF(COUNT($HO$7:$HO$17,$HT$7:$HT$17)&lt;&gt;2,"",
IF(AND(HO8="",HT8=""),"",
IF(COUNT($HY$7:$HZ$17)&gt;0,"",
IF($HN8&lt;(SMALL($HO$7:$HO$17,1)-SMALL($HT$7:$HT$17,1)),"",
(SMALL($HO$7:$HO$17,1)-SMALL($HT$7:$HT$17,1)))))),"")</f>
        <v/>
      </c>
      <c r="IB8" s="5" t="str">
        <f t="shared" ref="IB8:IB17" si="179">IFERROR(IF(COUNT($HO$7:$HO$17,$HV$7:$HV$17)&lt;&gt;2,"",
IF(AND(HO8="",HV8=""),"",
IF(COUNT($HY$7:$IA$17)&gt;0,"",
IF($HN8&lt;(SMALL($HO$7:$HO$17,1)-SMALL($HV$7:$HV$17,1)),"",
(SMALL($HO$7:$HO$17,1)-SMALL($HV$7:$HV$17,1)))))),"")</f>
        <v/>
      </c>
      <c r="IC8" s="5" t="str">
        <f t="shared" ref="IC8:IC17" si="180">IFERROR(IF(COUNT($HO$7:$HO$17,$HX$7:$HX$17)&lt;&gt;2,"",
IF(AND(HO8="",HX8=""),"",
IF(COUNT($HY$7:$IB$17)&gt;0,"",
IF($HN8&lt;(SMALL($HO$7:$HO$17,1)-SMALL($HX$7:$HX$17,1)),"",
(SMALL($HO$7:$HO$17,1)-SMALL($HX$7:$HX$17,1)))))),"")</f>
        <v/>
      </c>
      <c r="ID8" s="192" t="str">
        <f t="shared" ref="ID8:ID17" si="181">IFERROR(IF(COUNT($HQ$7:$HQ$17,$HP$7:$HP$17)&lt;&gt;2,"",
IF(AND(HQ8="",HP8=""),"",
IF(COUNT($HY$7:$HY$17)&gt;0,"",
IF($HN8&lt;(SMALL($HQ$7:$HQ$17,1)-SMALL($HP$7:$HP$17,1)),"",
(SMALL($HQ$7:$HQ$17,1)-SMALL($HP$7:$HP$17,1)))))),"")</f>
        <v/>
      </c>
      <c r="IE8" s="78" t="str">
        <f t="shared" ref="IE8:IE17" si="182">IFERROR(IF(COUNT($HQ$7:$HQ$17,$HR$7:$HR$17)&lt;&gt;2,"",
IF(AND(HQ8="",HR8=""),"",
IF(COUNT($HZ$7:$HZ$17)&gt;0,"",
IF(COUNT($ID$7:$ID$17)&gt;0,"",
IF($HN8&lt;(SMALL($HQ$7:$HQ$17,1)-SMALL($HR$7:$HR$17,1)),"",
(SMALL($HQ$7:$HQ$17,1)-SMALL($HR$7:$HR$17,1))))))),"")</f>
        <v/>
      </c>
      <c r="IF8" s="78" t="str">
        <f t="shared" ref="IF8:IF17" si="183">IFERROR(IF(COUNT($HQ$7:$HQ$17,$HT$7:$HT$17)&lt;&gt;2,"",
IF(AND(HQ8="",HT8=""),"",
IF(COUNT($IA$7:$IA$17)&gt;0,"",
IF(COUNT($ID$7:$IE$17)&gt;0,"",
IF($HN8&lt;(SMALL($HQ$7:$HQ$17,1)-SMALL($HT$7:$HT$17,1)),"",
(SMALL($HQ$7:$HQ$17,1)-SMALL($HT$7:$HT$17,1))))))),"")</f>
        <v/>
      </c>
      <c r="IG8" s="78" t="str">
        <f t="shared" ref="IG8:IG17" si="184">IFERROR(IF(COUNT($HQ$7:$HQ$17,$HV$7:$HV$17)&lt;&gt;2,"",
IF(AND(HQ8="",HV8=""),"",
IF(COUNT($IB$7:$IB$17)&gt;0,"",
IF(COUNT($ID$7:$IF$17)&gt;0,"",
IF($HN8&lt;(SMALL($HQ$7:$HQ$17,1)-SMALL($HV$7:$HV$17,1)),"",
(SMALL($HQ$7:$HQ$17,1)-SMALL($HV$7:$HV$17,1))))))),"")</f>
        <v/>
      </c>
      <c r="IH8" s="193" t="str">
        <f t="shared" ref="IH8:IH17" si="185">IFERROR(IF(COUNT($HQ$7:$HQ$17,$HX$7:$HX$17)&lt;&gt;2,"",
IF(AND(HQ8="",HX8=""),"",
IF(COUNT($IC$7:$IC$17)&gt;0,"",
IF(COUNT($ID$7:$IG$17)&gt;0,"",
IF($HN8&lt;(SMALL($HQ$7:$HQ$17,1)-SMALL($HX$7:$HX$17,1)),"",
(SMALL($HQ$7:$HQ$17,1)-SMALL($HX$7:$HX$17,1))))))),"")</f>
        <v/>
      </c>
      <c r="II8" s="5" t="str">
        <f t="shared" ref="II8:II17" si="186">IFERROR(IF(COUNT($HS$7:$HS$17,$HP$7:$HP$17)&lt;&gt;2,"",
IF(AND(HS8="",HP8=""),"",
IF(COUNT($HY$7:$HY$17,$ID$7:$ID$17)&gt;0,"",
IF($HN8&lt;(SMALL($HS$7:$HS$17,1)-SMALL($HP$7:$HP$17,1)),"",
(SMALL($HS$7:$HS$17,1)-SMALL($HP$7:$HP$17,1)))))),"")</f>
        <v/>
      </c>
      <c r="IJ8" s="5" t="str">
        <f t="shared" ref="IJ8:IJ17" si="187">IFERROR(IF(COUNT($HS$7:$HS$17,$HR$7:$HR$17)&lt;&gt;2,"",
IF(AND(HS8="",HR8=""),"",
IF(COUNT($HZ$7:$HZ$17,$IE$7:$IE$17)&gt;0,"",
IF(COUNT($II$7:$II$17)&gt;0,"",
IF($HN8&lt;(SMALL($HS$7:$HS$17,1)-SMALL($HR$7:$HR$17,1)),"",
(SMALL($HS$7:$HS$17,1)-SMALL($HR$7:$HR$17,1))))))),"")</f>
        <v/>
      </c>
      <c r="IK8" s="5" t="str">
        <f t="shared" ref="IK8:IK17" si="188">IFERROR(IF(COUNT($HS$7:$HS$17,$HT$7:$HT$17)&lt;&gt;2,"",
IF(AND(HS8="",HT8=""),"",
IF(COUNT($IA$7:$IA$17,$IF$7:$IF$17)&gt;0,"",
IF(COUNT($II$7:$IJ$17)&gt;0,"",
IF($HN8&lt;(SMALL($HS$7:$HS$17,1)-SMALL($HT$7:$HT$17,1)),"",
(SMALL($HS$7:$HS$17,1)-SMALL($HT$7:$HT$17,1))))))),"")</f>
        <v/>
      </c>
      <c r="IL8" s="5" t="str">
        <f t="shared" ref="IL8:IL17" si="189">IFERROR(IF(COUNT($HS$7:$HS$17,$HV$7:$HV$17)&lt;&gt;2,"",
IF(AND(HS8="",HV8=""),"",
IF(COUNT($IB$7:$IB$17,$IG$7:$IG$17)&gt;0,"",
IF(COUNT($II$7:$IK$17)&gt;0,"",
IF($HN8&lt;(SMALL($HS$7:$HS$17,1)-SMALL($HV$7:$HV$17,1)),"",
(SMALL($HS$7:$HS$17,1)-SMALL($HV$7:$HV$17,1))))))),"")</f>
        <v/>
      </c>
      <c r="IM8" s="5" t="str">
        <f t="shared" ref="IM8:IM17" si="190">IFERROR(IF(COUNT($HS$7:$HS$17,$HX$7:$HX$17)&lt;&gt;2,"",
IF(AND(HS8="",HX8=""),"",
IF(COUNT($IC$7:$IC$17,$IH$7:$IH$17)&gt;0,"",
IF(COUNT($II$7:$IL$17)&gt;0,"",
IF($HN8&lt;(SMALL($HS$7:$HS$17,1)-SMALL($HX$7:$HX$17,1)),"",
(SMALL($HS$7:$HS$17,1)-SMALL($HX$7:$HX$17,1))))))),"")</f>
        <v/>
      </c>
      <c r="IN8" s="192" t="str">
        <f t="shared" ref="IN8:IN17" si="191">IFERROR(IF(COUNT($HU$7:$HU$17,$HP$7:$HP$17)&lt;&gt;2,"",
IF(AND(HU8="",HP8=""),"",
IF(COUNT($HY$7:$HY$17,$ID$7:$ID$17,$II$7:$II$17)&gt;0,"",
IF($HN8&lt;(SMALL($HU$7:$HU$17,1)-SMALL($HP$7:$HP$17,1)),"",
(SMALL($HU$7:$HU$17,1)-SMALL($HP$7:$HP$17,1)))))),"")</f>
        <v/>
      </c>
      <c r="IO8" s="78" t="str">
        <f t="shared" ref="IO8:IO17" si="192">IFERROR(IF(COUNT($HU$7:$HU$17,$HR$7:$HR$17)&lt;&gt;2,"",
IF(AND(HU8="",HR8=""),"",
IF(COUNT($HZ$7:$HZ$17,$IE$7:$IE$17,$IJ$7:$IJ$17)&gt;0,"",
IF(COUNT($IN$7:$IN$17)&gt;0,"",
IF($HN8&lt;(SMALL($HU$7:$HU$17,1)-SMALL($HR$7:$HR$17,1)),"",
(SMALL($HU$7:$HU$17,1)-SMALL($HR$7:$HR$17,1))))))),"")</f>
        <v/>
      </c>
      <c r="IP8" s="78" t="str">
        <f t="shared" ref="IP8:IP17" si="193">IFERROR(IF(COUNT($HU$7:$HU$17,$HT$7:$HT$17)&lt;&gt;2,"",
IF(AND(HU8="",HT8=""),"",
IF(COUNT($IA$7:$IA$17,$IF$7:$IF$17,$IK$7:$IK$17)&gt;0,"",
IF(COUNT($IN$7:$IO$17)&gt;0,"",
IF($HN8&lt;(SMALL($HU$7:$HU$17,1)-SMALL($HT$7:$HT$17,1)),"",
(SMALL($HU$7:$HU$17,1)-SMALL($HT$7:$HT$17,1))))))),"")</f>
        <v/>
      </c>
      <c r="IQ8" s="78" t="str">
        <f t="shared" ref="IQ8:IQ17" si="194">IFERROR(IF(COUNT($HU$7:$HU$17,$HV$7:$HV$17)&lt;&gt;2,"",
IF(AND(HU8="",HV8=""),"",
IF(COUNT($IB$7:$IB$17,$IG$7:$IG$17,$IL$7:$IL$17)&gt;0,"",
IF(COUNT($IN$7:$IP$17)&gt;0,"",
IF($HN8&lt;(SMALL($HU$7:$HU$17,1)-SMALL($HV$7:$HV$17,1)),"",
(SMALL($HU$7:$HU$17,1)-SMALL($HV$7:$HV$17,1))))))),"")</f>
        <v/>
      </c>
      <c r="IR8" s="193" t="str">
        <f t="shared" ref="IR8:IR17" si="195">IFERROR(IF(COUNT($HU$7:$HU$17,$HX$7:$HX$17)&lt;&gt;2,"",
IF(AND(HU8="",HX8=""),"",
IF(COUNT($IC$7:$IC$17,$IH$7:$IH$17,$IM$7:$IM$17)&gt;0,"",
IF(COUNT($IN$7:$IQ$17)&gt;0,"",
IF($HN8&lt;(SMALL($HU$7:$HU$17,1)-SMALL($HX$7:$HX$17,1)),"",
(SMALL($HU$7:$HU$17,1)-SMALL($HX$7:$HX$17,1))))))),"")</f>
        <v/>
      </c>
      <c r="IS8" s="5" t="str">
        <f t="shared" ref="IS8:IS17" si="196">IFERROR(IF(COUNT($HW$7:$HW$17,$HP$7:$HP$17)&lt;&gt;2,"",
IF(AND(HW8="",HC8=""),"",
IF(COUNT($HY$7:$HY$17,$ID$7:$ID$17,$II$7:$II$17,$IN$7:$IN$17)&gt;0,"",
IF($HN8&lt;(SMALL($HW$7:$HW$17,1)-SMALL($HP$7:$HP$17,1)),"",
(SMALL($HW$7:$HW$17,1)-SMALL($HP$7:$HP$17,1)))))),"")</f>
        <v/>
      </c>
      <c r="IT8" s="5" t="str">
        <f t="shared" ref="IT8:IT17" si="197">IFERROR(IF(COUNT($HW$7:$HW$17,$HR$7:$HR$17)&lt;&gt;2,"",
IF(AND(HR8="",HW8=""),"",
IF(COUNT($HZ$7:$HZ$17,$IE$7:$IE$17,$IJ$7:$IJ$17,$IO$7:$IO$17)&gt;0,"",
IF(COUNT($IS$7:$IS$17)&gt;0,"",
IF($HN8&lt;(SMALL($HW$7:$HW$17,1)-SMALL($HR$7:$HR$17,1)),"",
(SMALL($HW$7:$HW$17,1)-SMALL($HR$7:$HR$17,1))))))),"")</f>
        <v/>
      </c>
      <c r="IU8" s="5" t="str">
        <f t="shared" ref="IU8:IU17" si="198">IFERROR(IF(COUNT($HW$7:$HW$17,$HT$7:$HT$17)&lt;&gt;2,"",
IF(AND(HW8="",HT8=""),"",
IF(COUNT($IA$7:$IA$17,$IF$7:$IF$17,$IK$7:$IK$17,$IP$7:$IP$17)&gt;0,"",
IF(COUNT($IS$7:$IT$17)&gt;0,"",
IF($HN8&lt;(SMALL($HW$7:$HW$17,1)-SMALL($HT$7:$HT$17,1)),"",
(SMALL($HW$7:$HW$17,1)-SMALL($HT$7:$HT$17,1))))))),"")</f>
        <v/>
      </c>
      <c r="IV8" s="5" t="str">
        <f t="shared" ref="IV8:IV17" si="199">IFERROR(IF(COUNT($HW$7:$HW$17,$HV$7:$HV$17)&lt;&gt;2,"",
IF(AND(HW8="",HV8=""),"",
IF(COUNT($IB$7:$IB$17,$IG$7:$IG$17,$IL$7:$IL$17,$IQ$7:$IQ$17)&gt;0,"",
IF(COUNT($IS$7:$IU$17)&gt;0,"",
IF($HN8&lt;(SMALL($HW$7:$HW$17,1)-SMALL($HV$7:$HV$17,1)),"",
(SMALL($HW$7:$HW$17,1)-SMALL($HV$7:$HV$17,1))))))),"")</f>
        <v/>
      </c>
      <c r="IW8" s="5" t="str">
        <f t="shared" ref="IW8:IW17" si="200">IFERROR(IF(COUNT($HW$7:$HW$17,$HX$7:$HX$17)&lt;&gt;2,"",
IF(AND(HW8="",HX8=""),"",
IF(COUNT($IC$7:$IC$17,$IH$7:$IH$17,$IM$7:$IM$17,$IR$7:$IR$17)&gt;0,"",
IF(COUNT($IS$7:$IV$17)&gt;0,"",
IF($HN8&lt;(SMALL($HW$7:$HW$17,1)-SMALL($HX$7:$HX$17,1)),"",
(SMALL($HW$7:$HW$17,1)-SMALL($HX$7:$HX$17,1))))))),"")</f>
        <v/>
      </c>
      <c r="IX8" s="110" t="str">
        <f t="shared" ref="IX8:IX17" si="201">IFERROR(IF(COUNT(HY8:IC8)=0,"",MAX(HY8:IC8)),"")</f>
        <v/>
      </c>
      <c r="IY8" s="5" t="str">
        <f t="shared" ref="IY8:IY17" si="202">IFERROR(IF(COUNT(ID8:IH8)=0,"",MAX(ID8:IH8)),"")</f>
        <v/>
      </c>
      <c r="IZ8" s="5" t="str">
        <f t="shared" ref="IZ8:IZ17" si="203">IFERROR(IF(COUNT(II8:IM8)=0,"",MAX(II8:IM8)),"")</f>
        <v/>
      </c>
      <c r="JA8" s="5" t="str">
        <f t="shared" ref="JA8:JA17" si="204">IFERROR(IF(COUNT(IN8:IR8)=0,"",MAX(IN8:IR8)),"")</f>
        <v/>
      </c>
      <c r="JB8" s="5" t="str">
        <f t="shared" ref="JB8:JB17" si="205">IFERROR(IF(COUNT(IS8:IW8)=0,"",MAX(IS8:IW8)),"")</f>
        <v/>
      </c>
      <c r="JC8" s="200" t="str">
        <f t="shared" ref="JC8:JC17" si="206">IFERROR(IF(HF8="","",IF(COUNT(IX8)=1,"vorschlagen","")),"")</f>
        <v/>
      </c>
      <c r="JD8" s="75" t="str">
        <f t="shared" ref="JD8:JD17" si="207">IFERROR(IF(HF8="","",
IF(COUNT(IY8)=0,"",
IF(HN8="","",
IF(COUNTIF($JC$7:$JC$17,"vorschlagen")=2,
IF(HN8-SMALL($IX$7:$IX$17,1)-SMALL($IY$7:$IY$17,1)&gt;=0,"vorschlagen",
IF(COUNTIF($JC$7:$JC$17,"vorschlagen")=0,
IF(HN8-SMALL($IY$7:$IY$17,1)&gt;=0,"vorschlagen",""),"")),"")))),"")</f>
        <v/>
      </c>
      <c r="JE8" s="75" t="str">
        <f t="shared" ref="JE8:JE17" si="208">IFERROR(IF(HF8="","",
IF(COUNT(IZ8)=0,"",
IF(HN8="","",
IF(AND(COUNTIF($JC$7:$JC$17,"vorschlagen")=2,COUNTIF($JD$7:$JD$17,"vorschlagen")=2),
IF(HN8-SMALL($IX$7:$IX$17,1)-SMALL($IY$7:$IY$17,1)-SMALL($IZ$7:$IZ$17,1)&gt;=0,"vorschlagen",
IF(AND(COUNTIF($JC$7:$JC$17,"vorschlagen")=2,COUNTIF($JD$7:$JD$17,"vorschlagen")=0),
IF(HN8-SMALL($IX$7:$IX$17,1)-SMALL($IZ$7:$IZ$17,1)&gt;=0,"vorschlagen",""),"")),"")))),"")</f>
        <v/>
      </c>
      <c r="JF8" s="75" t="str">
        <f t="shared" ref="JF8:JF17" si="209">IFERROR(IF(HF8="","",
IF(COUNT(JA8)=0,"",
IF(HN8="","",
IF(AND(COUNTIF($JC$7:$JC$17,"vorschlagen")=2,COUNTIF($JD$7:$JD$17,"vorschlagen")=2,COUNTIF($JE$7:$JE$17,"vorschlagen")=2),
IF(HN8-SMALL($IX$7:$IX$17,1)-SMALL($IY$7:$IY$17,1)-SMALL($IZ$7:$IZ$17,1)-SMALL($JA$7:$JA$17,1)&gt;=0,"vorschlagen",
IF(AND(COUNTIF($JC$7:$JC$17,"vorschlagen")=2,COUNTIF($JD$7:$JD$17,"vorschlagen")=2,COUNTIF($JE$7:$JE$17,"vorschlagen")=0),
IF(HN8-SMALL($IX$7:$IX$17,1)-SMALL($IY$7:$IY$17,1)-SMALL($JA$7:$JA$17,1)&gt;=0,"vorschlagen",
IF(AND(COUNTIF($JC$7:$JC$17,"vorschlagen")=2,COUNTIF($JD$7:$JD$17,"vorschlagen")=0,COUNTIF($JE$7:$JE$17,"vorschlagen")=2),
IF(HN8-SMALL($IX$7:$IX$17,1)-SMALL($IZ$7:$IZ$17,1)-SMALL($JA$7:$JA$17,1)&gt;=0,"vorschlagen",
IF(AND(COUNTIF($JC$7:$JC$17,"vorschlagen")=2,COUNTIF($JD$7:$JD$17,"vorschlagen")=0,COUNTIF($JE$7:$JE$17,"vorschlagen")=0),
IF(HN8-SMALL($IX$7:$IX$17,1)-SMALL($JA$7:$JA$17,1)&gt;=0,"vorschlagen",""),"")),"")),"")),"")))),"")</f>
        <v/>
      </c>
      <c r="JG8" s="109" t="str">
        <f t="shared" ref="JG8:JG17" si="210">IFERROR(IF(HF8="","",
IF(COUNT(JB8)=0,"",
IF(HN8="","",
IF(AND(COUNTIF($JC$7:$JC$17,"vorschlagen")=2,COUNTIF($JD$7:$JD$17,"vorschlagen")=2,COUNTIF($JE$7:$JE$17,"vorschlagen")=2,COUNTIF($JF$7:$JF$17,"vorschlagen")=2),
IF(HN8-SMALL($IX$7:$IX$17,1)-SMALL($IY$7:$IY$17,1)-SMALL($IZ$7:$IZ$17,1)-SMALL($JA$7:$JA$17,1)-SMALL($JB$7:$JB$17,1)&gt;=0,"vorschlagen",
IF(AND(COUNTIF($JC$7:$JC$17,"vorschlagen")=2,COUNTIF($JD$7:$JD$17,"vorschlagen")=2,COUNTIF($JE$7:$JE$17,"vorschlagen")=2,COUNTIF($JF$7:$JF$17,"vorschlagen")=0),
IF(HN8-SMALL($IX$7:$IX$17,1)-SMALL($IY$7:$IY$17,1)-SMALL($IZ$7:$IZ$17,1)-SMALL($JB$7:$JB$17,1)&gt;=0,"vorschlagen",
IF(AND(COUNTIF($JC$7:$JC$17,"vorschlagen")=2,COUNTIF($JD$7:$JD$17,"vorschlagen")=2,COUNTIF($JE$7:$JE$17,"vorschlagen")=0,COUNTIF($JF$7:$JF$17,"vorschlagen")=2),
IF(HN8-SMALL($IX$7:$IX$17,1)-SMALL($IY$7:$IY$17,1)-SMALL($JA$7:$JA$17,1)-SMALL($JB$7:$JB$17,1)&gt;=0,"vorschlagen",
IF(AND(COUNTIF($JC$7:$JC$17,"vorschlagen")=2,COUNTIF($JD$7:$JD$17,"vorschlagen")=0,COUNTIF($JE$7:$JE$17,"vorschlagen")=2,COUNTIF($JF$7:$JF$17,"vorschlagen")=2),
IF(HN8-SMALL($IX$7:$IX$17,1)-SMALL($IZ$7:$IZ$17,1)-SMALL($JA$7:$JA$17,1)-SMALL($JB$7:$JB$17,1)&gt;=0,"vorschlagen",
IF(AND(COUNTIF($JC$7:$JC$17,"vorschlagen")=2,COUNTIF($JD$7:$JD$17,"vorschlagen")=2,COUNTIF($JE$7:$JE$17,"vorschlagen")=0,COUNTIF($JF$7:$JF$17,"vorschlagen")=0),
IF(HN8-SMALL($IX$7:$IX$17,1)-SMALL($IY$7:$IY$17,1)-SMALL($JB$7:$JB$17,1)&gt;=0,"vorschlagen",
IF(AND(COUNTIF($JC$7:$JC$17,"vorschlagen")=2,COUNTIF($JD$7:$JD$17,"vorschlagen")=0,COUNTIF($JE$7:$JE$17,"vorschlagen")=0,COUNTIF($JF$7:$JF$17,"vorschlagen")=2),
IF(HN8-SMALL($IX$7:$IX$17,1)-SMALL($JA$7:$JA$17,1)-SMALL($JB$7:$JB$17,1)&gt;=0,"vorschlagen",
IF(AND(COUNTIF($JC$7:$JC$17,"vorschlagen")=2,COUNTIF($JD$7:$JD$17,"vorschlagen")=0,COUNTIF($JE$7:$JE$17,"vorschlagen")=2,COUNTIF($JF$7:$JF$17,"vorschlagen")=0),
IF(HN8-SMALL($IX$7:$IX$17,1)-SMALL($IZ$7:$IZ$17,1)-SMALL($JB$7:$JB$17,1)&gt;=0,"vorschlagen",
IF(AND(COUNTIF($JC$7:$JC$17,"vorschlagen")=2,COUNTIF($JD$7:$JD$17,"vorschlagen")=0,COUNTIF($JE$7:$JE$17,"vorschlagen")=0,COUNTIF($JF$7:$JF$17,"vorschlagen")=0),
IF(HN8-SMALL($IX$7:$IX$17,1)-SMALL($JB$7:$JB$17,1)&gt;=0,"vorschlagen",""),"")),"")),"")),"")),"")),"")),"")),"")))),"")</f>
        <v/>
      </c>
      <c r="JH8" s="186" t="str">
        <f t="shared" si="52"/>
        <v/>
      </c>
      <c r="JI8" s="202">
        <f t="shared" si="53"/>
        <v>300</v>
      </c>
      <c r="JJ8" s="202" t="str">
        <f t="shared" si="54"/>
        <v/>
      </c>
      <c r="JK8" s="202" t="str">
        <f t="shared" si="55"/>
        <v/>
      </c>
      <c r="JL8" s="203" t="str">
        <f t="shared" si="56"/>
        <v/>
      </c>
      <c r="JM8" s="196" t="str">
        <f t="shared" si="57"/>
        <v/>
      </c>
      <c r="JN8" s="197" t="str">
        <f t="shared" si="58"/>
        <v/>
      </c>
      <c r="JO8" s="110" t="str">
        <f t="shared" ref="JO8:JO14" si="211">IF(JM8="","",IF($Q$20=0,"",""))</f>
        <v/>
      </c>
      <c r="JP8" s="5" t="str">
        <f t="shared" si="59"/>
        <v/>
      </c>
      <c r="JQ8" s="111" t="str">
        <f t="shared" si="60"/>
        <v/>
      </c>
      <c r="JR8" s="92" t="str">
        <f t="shared" si="61"/>
        <v/>
      </c>
      <c r="JS8" s="108" t="str">
        <f t="shared" si="62"/>
        <v/>
      </c>
      <c r="JT8" s="109" t="str">
        <f t="shared" si="62"/>
        <v/>
      </c>
      <c r="JU8" s="91" t="str">
        <f t="shared" si="63"/>
        <v>ja</v>
      </c>
      <c r="JV8" s="108" t="str">
        <f t="shared" si="64"/>
        <v/>
      </c>
      <c r="JW8" s="109" t="str">
        <f t="shared" si="65"/>
        <v/>
      </c>
      <c r="JY8" s="110" t="str">
        <f t="shared" si="66"/>
        <v/>
      </c>
      <c r="JZ8" s="78" t="str">
        <f t="shared" si="66"/>
        <v/>
      </c>
      <c r="KA8" s="78">
        <f t="shared" si="67"/>
        <v>0</v>
      </c>
      <c r="KB8" s="111">
        <f t="shared" si="68"/>
        <v>0</v>
      </c>
      <c r="KD8" s="84" t="str">
        <f t="shared" si="69"/>
        <v>Deutsch</v>
      </c>
      <c r="KE8" s="22" t="str">
        <f t="shared" si="70"/>
        <v/>
      </c>
      <c r="KF8" s="22" t="str">
        <f t="shared" si="70"/>
        <v/>
      </c>
      <c r="KG8" s="10"/>
      <c r="KH8" s="30" t="str">
        <f>IFERROR(IF(J8="","",J8),"")</f>
        <v/>
      </c>
      <c r="KI8" s="135"/>
      <c r="KJ8" s="274" t="str">
        <f>IF(KB8=0,"",IF(J8="",ROUND((KA8/KB8),2),IF(KB8=0,"",ROUND((KA8+(2*O8))/(2+KB8),2))))</f>
        <v/>
      </c>
      <c r="KK8" s="274"/>
      <c r="KL8" s="275" t="str">
        <f t="shared" ref="KL8:KL17" si="212">IF(KJ8="","",IF(KJ8&lt;1,0,ROUND(KJ8,0)))</f>
        <v/>
      </c>
      <c r="KM8" s="275"/>
      <c r="KN8" s="168" t="str">
        <f>IF(KJ8="","",INDEX(Noten_tab[],MATCH(KL8,Noten_tab[Punkte],0),2))</f>
        <v/>
      </c>
      <c r="KO8" s="5" t="str">
        <f t="shared" si="71"/>
        <v/>
      </c>
    </row>
    <row r="9" spans="2:301" ht="18.75" customHeight="1" x14ac:dyDescent="0.25">
      <c r="B9" s="13" t="s">
        <v>4</v>
      </c>
      <c r="C9" s="29" t="s">
        <v>49</v>
      </c>
      <c r="D9" s="26"/>
      <c r="E9" s="26"/>
      <c r="G9" s="3"/>
      <c r="H9" s="3"/>
      <c r="I9" s="30" t="str">
        <f>IF(AND(G9="",H9=""),"",IF(H9="",G9,IF(G9="",H9,((G9*2)+H9)/3)))</f>
        <v/>
      </c>
      <c r="J9" s="30" t="str">
        <f>IF(AND(G9="",H9=""),"",IF(I9&lt;1,0,ROUND(I9,0)))</f>
        <v/>
      </c>
      <c r="K9" s="14">
        <f>IF(J9="",5,IF(J9=0,10,IF(J9&lt;4,1,0)))</f>
        <v>5</v>
      </c>
      <c r="L9" s="14"/>
      <c r="M9" s="189" t="str">
        <f t="shared" si="72"/>
        <v/>
      </c>
      <c r="N9" s="189" t="str">
        <f t="shared" si="0"/>
        <v/>
      </c>
      <c r="O9" s="189" t="str">
        <f>IF(J9="","",J9)</f>
        <v/>
      </c>
      <c r="P9" s="12"/>
      <c r="Q9" s="88"/>
      <c r="R9" s="92">
        <f t="shared" si="73"/>
        <v>0</v>
      </c>
      <c r="S9" s="98" t="str">
        <f>IF(O9&lt;&gt;"","",IF(COUNT(M9:N9)=0,"",AVERAGE(M9:N9)))</f>
        <v/>
      </c>
      <c r="T9" s="99">
        <f>IF(O9&lt;&gt;"","",IF(COUNT(M9:N9)&lt;2,MIN(M9:N9),(SUM(M9:N9)-MIN(M9:N9))/(COUNT(M9:N9)-1)))</f>
        <v>0</v>
      </c>
      <c r="U9" s="99" t="str">
        <f>IF(O9="","",IF(COUNT(M9:N9)=0,O9,SUM(IF(M9="",0,M9),IF(N9="",0,N9),2*O9)/(COUNT(M9:N9)+2)))</f>
        <v/>
      </c>
      <c r="V9" s="99" t="str">
        <f>IF(O9="","",IF(COUNT(M9:N9)=0,"",IF(COUNT(M9:N9)&lt;2,(MIN(M9:N9)+2*O9)/3,(SUM(IF(M9="",0,M9),IF(N9="",0,N9),2*O9)-MIN(M9:N9))/((COUNT(M9:N9)-1)+2))))</f>
        <v/>
      </c>
      <c r="W9" s="99" t="str">
        <f t="shared" si="74"/>
        <v/>
      </c>
      <c r="X9" s="99">
        <f t="shared" si="75"/>
        <v>0</v>
      </c>
      <c r="Y9" s="99" t="str">
        <f t="shared" si="76"/>
        <v/>
      </c>
      <c r="Z9" s="101">
        <f t="shared" si="77"/>
        <v>1</v>
      </c>
      <c r="AA9" s="78">
        <f t="shared" si="78"/>
        <v>0.09</v>
      </c>
      <c r="AB9" s="78" t="str">
        <f t="shared" si="79"/>
        <v/>
      </c>
      <c r="AC9" s="78" t="str">
        <f t="shared" si="80"/>
        <v/>
      </c>
      <c r="AD9" s="78" t="str">
        <f t="shared" si="81"/>
        <v/>
      </c>
      <c r="AE9" s="78" t="str">
        <f t="shared" si="82"/>
        <v/>
      </c>
      <c r="AF9" s="78" t="str">
        <f>IF(AE9="","",INDEX(Noten_tab[],MATCH(AE9,Noten_tab[Punkte],0),2))</f>
        <v/>
      </c>
      <c r="AG9" s="110" t="str">
        <f t="shared" si="1"/>
        <v/>
      </c>
      <c r="AH9" s="154">
        <f>IF($C9="aut.",((Z9*300)),"")</f>
        <v>300</v>
      </c>
      <c r="AI9" s="31" t="str">
        <f t="shared" si="2"/>
        <v/>
      </c>
      <c r="AJ9" s="111" t="str">
        <f t="shared" si="3"/>
        <v/>
      </c>
      <c r="AK9" s="108" t="str">
        <f t="shared" si="83"/>
        <v/>
      </c>
      <c r="AL9" s="118" t="str">
        <f t="shared" si="84"/>
        <v/>
      </c>
      <c r="AM9" s="110" t="str">
        <f t="shared" si="85"/>
        <v/>
      </c>
      <c r="AN9" s="78" t="str">
        <f t="shared" si="86"/>
        <v/>
      </c>
      <c r="AO9" s="111" t="str">
        <f t="shared" si="87"/>
        <v/>
      </c>
      <c r="AP9" s="92" t="str">
        <f t="shared" si="4"/>
        <v/>
      </c>
      <c r="AQ9" s="108" t="str">
        <f t="shared" si="88"/>
        <v/>
      </c>
      <c r="AR9" s="109" t="str">
        <f t="shared" si="89"/>
        <v/>
      </c>
      <c r="AS9" s="91" t="str">
        <f t="shared" si="90"/>
        <v>ja</v>
      </c>
      <c r="AT9" s="108" t="str">
        <f t="shared" si="91"/>
        <v/>
      </c>
      <c r="AU9" s="109" t="str">
        <f t="shared" si="92"/>
        <v/>
      </c>
      <c r="AV9" s="77"/>
      <c r="AW9" s="110" t="str">
        <f t="shared" si="93"/>
        <v/>
      </c>
      <c r="AX9" s="78" t="str">
        <f>IF(LEFT(BD9,1)="(","",BD9)</f>
        <v/>
      </c>
      <c r="AY9" s="78">
        <f t="shared" si="5"/>
        <v>0</v>
      </c>
      <c r="AZ9" s="111">
        <f t="shared" si="6"/>
        <v>0</v>
      </c>
      <c r="BA9" s="77"/>
      <c r="BB9" s="11" t="str">
        <f t="shared" si="7"/>
        <v>Englisch</v>
      </c>
      <c r="BC9" s="22" t="str">
        <f t="shared" si="8"/>
        <v/>
      </c>
      <c r="BD9" s="22" t="str">
        <f t="shared" si="8"/>
        <v/>
      </c>
      <c r="BE9" s="10"/>
      <c r="BF9" s="30" t="str">
        <f>IFERROR(IF(J9="","",J9),"")</f>
        <v/>
      </c>
      <c r="BG9" s="136"/>
      <c r="BH9" s="274" t="str">
        <f>IF(AZ9=0,"",IF(J9="",ROUND((AY9/AZ9),2),IF(AZ9=0,"",ROUND((AY9+(2*J9))/(2+AZ9),2))))</f>
        <v/>
      </c>
      <c r="BI9" s="274"/>
      <c r="BJ9" s="275" t="str">
        <f t="shared" ref="BJ9:BJ17" si="213">IF(BH9="","",IF(BH9&lt;1,0,ROUND(BH9,0)))</f>
        <v/>
      </c>
      <c r="BK9" s="275"/>
      <c r="BL9" s="168" t="str">
        <f>IF(BH9="","",INDEX(Noten_tab[],MATCH(BJ9,Noten_tab[Punkte],0),2))</f>
        <v/>
      </c>
      <c r="BM9" s="5" t="str">
        <f t="shared" si="9"/>
        <v/>
      </c>
      <c r="BN9" s="78"/>
      <c r="BO9" s="10"/>
      <c r="BP9" s="143">
        <f t="shared" si="10"/>
        <v>0</v>
      </c>
      <c r="BQ9" s="99" t="str">
        <f>IF(O9&lt;&gt;"","",IF(COUNT(M9:N9)=0,"",AVERAGE(M9:N9)))</f>
        <v/>
      </c>
      <c r="BR9" s="99">
        <f>IF(O9&lt;&gt;"","",IF(COUNT(M9:N9)&lt;2,MIN(M9:N9),(SUM(M9:N9)-MIN(M9:N9))/(COUNT(M9:N9)-1)))</f>
        <v>0</v>
      </c>
      <c r="BS9" s="99" t="str">
        <f>IF(O9="","",IF(COUNT(M9:N9)=0,O9,SUM(IF(M9="",0,M9),IF(N9="",0,N9),2*O9)/(COUNT(M9:N9)+2)))</f>
        <v/>
      </c>
      <c r="BT9" s="99" t="str">
        <f>IF(O9="","",IF(COUNT(M9:N9)=0,"",IF(COUNT(M9:N9)&lt;2,(MIN(M9:N9)+2*O9)/3,(SUM(IF(M9="",0,M9),IF(N9="",0,N9),2*O9)-MIN(M9:N9))/((COUNT(M9:N9)-1)+2))))</f>
        <v/>
      </c>
      <c r="BU9" s="99" t="str">
        <f t="shared" si="94"/>
        <v/>
      </c>
      <c r="BV9" s="99">
        <f t="shared" si="95"/>
        <v>0</v>
      </c>
      <c r="BW9" s="99" t="str">
        <f t="shared" si="96"/>
        <v/>
      </c>
      <c r="BX9" s="101">
        <f t="shared" si="97"/>
        <v>1</v>
      </c>
      <c r="BY9" s="110" t="str">
        <f t="shared" si="11"/>
        <v/>
      </c>
      <c r="BZ9" s="154">
        <f>IF($C9="aut.",((BX9*300)),"")</f>
        <v>300</v>
      </c>
      <c r="CA9" s="31" t="str">
        <f t="shared" si="12"/>
        <v/>
      </c>
      <c r="CB9" s="111" t="str">
        <f t="shared" si="13"/>
        <v/>
      </c>
      <c r="CC9" s="108" t="str">
        <f t="shared" si="14"/>
        <v/>
      </c>
      <c r="CD9" s="118" t="str">
        <f t="shared" si="98"/>
        <v/>
      </c>
      <c r="CE9" s="110" t="str">
        <f t="shared" si="99"/>
        <v/>
      </c>
      <c r="CF9" s="78" t="str">
        <f t="shared" si="15"/>
        <v/>
      </c>
      <c r="CG9" s="111" t="str">
        <f t="shared" si="16"/>
        <v/>
      </c>
      <c r="CH9" s="92" t="str">
        <f t="shared" si="17"/>
        <v/>
      </c>
      <c r="CI9" s="108" t="str">
        <f t="shared" si="18"/>
        <v/>
      </c>
      <c r="CJ9" s="109" t="str">
        <f t="shared" si="18"/>
        <v/>
      </c>
      <c r="CK9" s="91" t="str">
        <f t="shared" si="100"/>
        <v>ja</v>
      </c>
      <c r="CL9" s="108" t="str">
        <f t="shared" si="101"/>
        <v/>
      </c>
      <c r="CM9" s="109" t="str">
        <f t="shared" si="102"/>
        <v/>
      </c>
      <c r="CN9" s="77"/>
      <c r="CO9" s="110" t="str">
        <f t="shared" si="19"/>
        <v/>
      </c>
      <c r="CP9" s="78" t="str">
        <f t="shared" si="19"/>
        <v/>
      </c>
      <c r="CQ9" s="78">
        <f t="shared" si="20"/>
        <v>0</v>
      </c>
      <c r="CR9" s="111">
        <f t="shared" si="21"/>
        <v>0</v>
      </c>
      <c r="CT9" s="84" t="str">
        <f t="shared" si="103"/>
        <v>Englisch</v>
      </c>
      <c r="CU9" s="22" t="str">
        <f t="shared" si="22"/>
        <v/>
      </c>
      <c r="CV9" s="22" t="str">
        <f t="shared" si="22"/>
        <v/>
      </c>
      <c r="CW9" s="10"/>
      <c r="CX9" s="30" t="str">
        <f>IFERROR(IF(J9="","",J9),"")</f>
        <v/>
      </c>
      <c r="CY9" s="135"/>
      <c r="CZ9" s="274" t="str">
        <f>IF(CR9=0,"",IF(J9="",ROUND((CQ9/CR9),2),IF(CR9=0,"",ROUND((CQ9+(2*J9))/(2+CR9),2))))</f>
        <v/>
      </c>
      <c r="DA9" s="274"/>
      <c r="DB9" s="275" t="str">
        <f t="shared" si="104"/>
        <v/>
      </c>
      <c r="DC9" s="275"/>
      <c r="DD9" s="168" t="str">
        <f>IF(CZ9="","",INDEX(Noten_tab[],MATCH(DB9,Noten_tab[Punkte],0),2))</f>
        <v/>
      </c>
      <c r="DE9" s="5" t="str">
        <f t="shared" si="23"/>
        <v/>
      </c>
      <c r="DH9" s="110" t="str">
        <f t="shared" si="24"/>
        <v/>
      </c>
      <c r="DI9" s="5">
        <f t="shared" si="24"/>
        <v>0</v>
      </c>
      <c r="DJ9" s="5" t="str">
        <f>IF(DH9="","",INDEX(Noten_tab[],MATCH(DH9,Noten_tab[Punkte],0),3))</f>
        <v/>
      </c>
      <c r="DK9" s="5">
        <f>IF(DI9="","",INDEX(Noten_tab[],MATCH(DI9,Noten_tab[Punkte],0),3))</f>
        <v>6</v>
      </c>
      <c r="DL9" s="75" t="str">
        <f t="shared" si="25"/>
        <v>Verbesserung</v>
      </c>
      <c r="DM9" s="5" t="str">
        <f t="shared" si="105"/>
        <v/>
      </c>
      <c r="DN9" s="75" t="str">
        <f t="shared" si="26"/>
        <v/>
      </c>
      <c r="DO9" s="5">
        <f t="shared" si="27"/>
        <v>0</v>
      </c>
      <c r="DP9" s="201" t="str">
        <f>IFERROR(IF(DO9="","",$BE$27-INDEX(Schnitt_von_bis_390_tab[],MATCH($BE$28,Schnitt_von_bis_390_tab[Schnitt],0),3)),"")</f>
        <v/>
      </c>
      <c r="DQ9" s="190" t="str">
        <f t="shared" si="106"/>
        <v/>
      </c>
      <c r="DR9" s="191" t="str">
        <f t="shared" si="107"/>
        <v/>
      </c>
      <c r="DS9" s="192" t="str">
        <f t="shared" si="108"/>
        <v/>
      </c>
      <c r="DT9" s="78">
        <f t="shared" si="109"/>
        <v>0</v>
      </c>
      <c r="DU9" s="193" t="str">
        <f t="shared" si="110"/>
        <v/>
      </c>
      <c r="DV9" s="194">
        <f t="shared" si="111"/>
        <v>0</v>
      </c>
      <c r="DW9" s="5" t="str">
        <f t="shared" si="112"/>
        <v/>
      </c>
      <c r="DX9" s="5" t="str">
        <f t="shared" si="113"/>
        <v/>
      </c>
      <c r="DY9" s="192" t="str">
        <f t="shared" si="114"/>
        <v/>
      </c>
      <c r="DZ9" s="5" t="str">
        <f t="shared" si="115"/>
        <v/>
      </c>
      <c r="EA9" s="192" t="str">
        <f t="shared" si="116"/>
        <v/>
      </c>
      <c r="EB9" s="5" t="str">
        <f t="shared" si="117"/>
        <v/>
      </c>
      <c r="EC9" s="192" t="str">
        <f t="shared" si="118"/>
        <v/>
      </c>
      <c r="ED9" s="5" t="str">
        <f t="shared" si="119"/>
        <v/>
      </c>
      <c r="EE9" s="192" t="str">
        <f t="shared" si="120"/>
        <v/>
      </c>
      <c r="EF9" s="111" t="str">
        <f t="shared" si="121"/>
        <v/>
      </c>
      <c r="EG9" s="5" t="str">
        <f t="shared" si="122"/>
        <v/>
      </c>
      <c r="EH9" s="5" t="str">
        <f t="shared" si="123"/>
        <v/>
      </c>
      <c r="EI9" s="5" t="str">
        <f t="shared" si="124"/>
        <v/>
      </c>
      <c r="EJ9" s="5" t="str">
        <f t="shared" si="125"/>
        <v/>
      </c>
      <c r="EK9" s="5" t="str">
        <f t="shared" si="126"/>
        <v/>
      </c>
      <c r="EL9" s="192" t="str">
        <f t="shared" si="127"/>
        <v/>
      </c>
      <c r="EM9" s="78" t="str">
        <f t="shared" si="128"/>
        <v/>
      </c>
      <c r="EN9" s="78" t="str">
        <f t="shared" si="129"/>
        <v/>
      </c>
      <c r="EO9" s="78" t="str">
        <f t="shared" si="130"/>
        <v/>
      </c>
      <c r="EP9" s="193" t="str">
        <f t="shared" si="131"/>
        <v/>
      </c>
      <c r="EQ9" s="5" t="str">
        <f t="shared" si="132"/>
        <v/>
      </c>
      <c r="ER9" s="5" t="str">
        <f t="shared" si="133"/>
        <v/>
      </c>
      <c r="ES9" s="5" t="str">
        <f t="shared" si="134"/>
        <v/>
      </c>
      <c r="ET9" s="5" t="str">
        <f t="shared" si="135"/>
        <v/>
      </c>
      <c r="EU9" s="5" t="str">
        <f t="shared" si="136"/>
        <v/>
      </c>
      <c r="EV9" s="192" t="str">
        <f t="shared" si="137"/>
        <v/>
      </c>
      <c r="EW9" s="78" t="str">
        <f t="shared" si="138"/>
        <v/>
      </c>
      <c r="EX9" s="78" t="str">
        <f t="shared" si="139"/>
        <v/>
      </c>
      <c r="EY9" s="78" t="str">
        <f t="shared" si="140"/>
        <v/>
      </c>
      <c r="EZ9" s="193" t="str">
        <f t="shared" si="141"/>
        <v/>
      </c>
      <c r="FA9" s="5" t="str">
        <f t="shared" si="142"/>
        <v/>
      </c>
      <c r="FB9" s="5" t="str">
        <f t="shared" si="143"/>
        <v/>
      </c>
      <c r="FC9" s="5" t="str">
        <f t="shared" si="144"/>
        <v/>
      </c>
      <c r="FD9" s="5" t="str">
        <f t="shared" si="145"/>
        <v/>
      </c>
      <c r="FE9" s="5" t="str">
        <f t="shared" si="146"/>
        <v/>
      </c>
      <c r="FF9" s="108" t="str">
        <f t="shared" si="147"/>
        <v/>
      </c>
      <c r="FG9" s="75" t="str">
        <f t="shared" si="148"/>
        <v/>
      </c>
      <c r="FH9" s="75" t="str">
        <f t="shared" si="149"/>
        <v/>
      </c>
      <c r="FI9" s="75" t="str">
        <f t="shared" si="150"/>
        <v/>
      </c>
      <c r="FJ9" s="77" t="str">
        <f t="shared" si="151"/>
        <v/>
      </c>
      <c r="FK9" s="108" t="str">
        <f t="shared" si="152"/>
        <v/>
      </c>
      <c r="FL9" s="77" t="str">
        <f t="shared" si="153"/>
        <v/>
      </c>
      <c r="FM9" s="77" t="str">
        <f t="shared" si="154"/>
        <v/>
      </c>
      <c r="FN9" s="77" t="str">
        <f t="shared" si="155"/>
        <v/>
      </c>
      <c r="FO9" s="77" t="str">
        <f t="shared" si="156"/>
        <v/>
      </c>
      <c r="FP9" s="186" t="str">
        <f t="shared" si="28"/>
        <v/>
      </c>
      <c r="FQ9" s="202">
        <f t="shared" si="29"/>
        <v>300</v>
      </c>
      <c r="FR9" s="202" t="str">
        <f t="shared" si="30"/>
        <v/>
      </c>
      <c r="FS9" s="202" t="str">
        <f t="shared" si="31"/>
        <v/>
      </c>
      <c r="FT9" s="203" t="str">
        <f t="shared" si="32"/>
        <v/>
      </c>
      <c r="FU9" s="196" t="str">
        <f t="shared" si="33"/>
        <v/>
      </c>
      <c r="FV9" s="197" t="str">
        <f t="shared" si="34"/>
        <v/>
      </c>
      <c r="FW9" s="110" t="str">
        <f t="shared" si="157"/>
        <v/>
      </c>
      <c r="FX9" s="5" t="str">
        <f t="shared" si="35"/>
        <v/>
      </c>
      <c r="FY9" s="111" t="str">
        <f t="shared" si="36"/>
        <v/>
      </c>
      <c r="FZ9" s="92" t="str">
        <f t="shared" si="37"/>
        <v/>
      </c>
      <c r="GA9" s="108" t="str">
        <f t="shared" si="38"/>
        <v/>
      </c>
      <c r="GB9" s="109" t="str">
        <f t="shared" si="38"/>
        <v/>
      </c>
      <c r="GC9" s="91" t="str">
        <f t="shared" si="158"/>
        <v>ja</v>
      </c>
      <c r="GD9" s="108" t="str">
        <f t="shared" si="159"/>
        <v/>
      </c>
      <c r="GE9" s="109" t="str">
        <f t="shared" si="160"/>
        <v/>
      </c>
      <c r="GG9" s="110" t="str">
        <f t="shared" si="161"/>
        <v/>
      </c>
      <c r="GH9" s="78" t="str">
        <f>IF(LEFT(GN9,1)="(","",GN9)</f>
        <v/>
      </c>
      <c r="GI9" s="78">
        <f t="shared" si="39"/>
        <v>0</v>
      </c>
      <c r="GJ9" s="111">
        <f t="shared" si="40"/>
        <v>0</v>
      </c>
      <c r="GK9" s="77"/>
      <c r="GL9" s="11" t="str">
        <f t="shared" si="41"/>
        <v>Englisch</v>
      </c>
      <c r="GM9" s="22" t="str">
        <f t="shared" si="42"/>
        <v/>
      </c>
      <c r="GN9" s="22" t="str">
        <f t="shared" si="42"/>
        <v/>
      </c>
      <c r="GO9" s="10"/>
      <c r="GP9" s="30" t="str">
        <f>IFERROR(IF(J9="","",J9),"")</f>
        <v/>
      </c>
      <c r="GQ9" s="136"/>
      <c r="GR9" s="274" t="str">
        <f>IF(GJ9=0,"",IF(J9="",ROUND((GI9/GJ9),2),IF(GJ9=0,"",ROUND((GI9+(2*O9))/(2+GJ9),2))))</f>
        <v/>
      </c>
      <c r="GS9" s="274"/>
      <c r="GT9" s="275" t="str">
        <f t="shared" ref="GT9:GT17" si="214">IF(GR9="","",IF(GR9&lt;1,0,ROUND(GR9,0)))</f>
        <v/>
      </c>
      <c r="GU9" s="275"/>
      <c r="GV9" s="168" t="str">
        <f>IF(GR9="","",INDEX(Noten_tab[],MATCH(GT9,Noten_tab[Punkte],0),2))</f>
        <v/>
      </c>
      <c r="GW9" s="5" t="str">
        <f t="shared" si="43"/>
        <v/>
      </c>
      <c r="GX9" s="75"/>
      <c r="GY9" s="110" t="str">
        <f t="shared" si="44"/>
        <v/>
      </c>
      <c r="GZ9" s="5">
        <f t="shared" si="44"/>
        <v>0</v>
      </c>
      <c r="HA9" s="5" t="str">
        <f>IF(GY9="","",INDEX(Noten_tab[],MATCH(GY9,Noten_tab[Punkte],0),3))</f>
        <v/>
      </c>
      <c r="HB9" s="5">
        <f>IF(GZ9="","",INDEX(Noten_tab[],MATCH(GZ9,Noten_tab[Punkte],0),3))</f>
        <v>6</v>
      </c>
      <c r="HC9" s="75" t="str">
        <f t="shared" si="45"/>
        <v>Verbesserung</v>
      </c>
      <c r="HD9" s="5" t="str">
        <f t="shared" si="46"/>
        <v/>
      </c>
      <c r="HE9" s="75" t="str">
        <f t="shared" si="47"/>
        <v/>
      </c>
      <c r="HF9" s="5">
        <f t="shared" si="48"/>
        <v>0</v>
      </c>
      <c r="HG9" s="5">
        <f t="shared" si="162"/>
        <v>390</v>
      </c>
      <c r="HH9" s="201" t="str">
        <f>IFERROR(IF(HF9="","",$CW$28-IF($CU$56=390,INDEX(Schnitt_von_bis_390_tab[],MATCH($CW$29,Schnitt_von_bis_390_tab[Schnitt],0),3),INDEX(Schnitt_von_bis_420_tab[],MATCH($CW$29,Schnitt_von_bis_420_tab[Schnitt],0),3))),"")</f>
        <v/>
      </c>
      <c r="HI9" s="198" t="str">
        <f t="shared" si="49"/>
        <v/>
      </c>
      <c r="HJ9" s="199" t="str">
        <f t="shared" si="50"/>
        <v/>
      </c>
      <c r="HK9" s="78" t="str">
        <f t="shared" si="163"/>
        <v/>
      </c>
      <c r="HL9" s="78" t="str">
        <f t="shared" si="164"/>
        <v/>
      </c>
      <c r="HM9" s="193" t="str">
        <f t="shared" si="51"/>
        <v/>
      </c>
      <c r="HN9" s="194">
        <f t="shared" si="165"/>
        <v>0</v>
      </c>
      <c r="HO9" s="5" t="str">
        <f t="shared" si="166"/>
        <v/>
      </c>
      <c r="HP9" s="5" t="str">
        <f t="shared" si="167"/>
        <v/>
      </c>
      <c r="HQ9" s="192" t="str">
        <f t="shared" si="168"/>
        <v/>
      </c>
      <c r="HR9" s="5" t="str">
        <f t="shared" si="169"/>
        <v/>
      </c>
      <c r="HS9" s="192" t="str">
        <f t="shared" si="170"/>
        <v/>
      </c>
      <c r="HT9" s="5" t="str">
        <f t="shared" si="171"/>
        <v/>
      </c>
      <c r="HU9" s="192" t="str">
        <f t="shared" si="172"/>
        <v/>
      </c>
      <c r="HV9" s="5" t="str">
        <f t="shared" si="173"/>
        <v/>
      </c>
      <c r="HW9" s="192" t="str">
        <f t="shared" si="174"/>
        <v/>
      </c>
      <c r="HX9" s="111" t="str">
        <f t="shared" si="175"/>
        <v/>
      </c>
      <c r="HY9" s="5" t="str">
        <f t="shared" si="176"/>
        <v/>
      </c>
      <c r="HZ9" s="5" t="str">
        <f t="shared" si="177"/>
        <v/>
      </c>
      <c r="IA9" s="5" t="str">
        <f t="shared" si="178"/>
        <v/>
      </c>
      <c r="IB9" s="5" t="str">
        <f t="shared" si="179"/>
        <v/>
      </c>
      <c r="IC9" s="5" t="str">
        <f t="shared" si="180"/>
        <v/>
      </c>
      <c r="ID9" s="192" t="str">
        <f t="shared" si="181"/>
        <v/>
      </c>
      <c r="IE9" s="78" t="str">
        <f t="shared" si="182"/>
        <v/>
      </c>
      <c r="IF9" s="78" t="str">
        <f t="shared" si="183"/>
        <v/>
      </c>
      <c r="IG9" s="78" t="str">
        <f t="shared" si="184"/>
        <v/>
      </c>
      <c r="IH9" s="193" t="str">
        <f t="shared" si="185"/>
        <v/>
      </c>
      <c r="II9" s="5" t="str">
        <f t="shared" si="186"/>
        <v/>
      </c>
      <c r="IJ9" s="5" t="str">
        <f t="shared" si="187"/>
        <v/>
      </c>
      <c r="IK9" s="5" t="str">
        <f t="shared" si="188"/>
        <v/>
      </c>
      <c r="IL9" s="5" t="str">
        <f t="shared" si="189"/>
        <v/>
      </c>
      <c r="IM9" s="5" t="str">
        <f t="shared" si="190"/>
        <v/>
      </c>
      <c r="IN9" s="192" t="str">
        <f t="shared" si="191"/>
        <v/>
      </c>
      <c r="IO9" s="78" t="str">
        <f t="shared" si="192"/>
        <v/>
      </c>
      <c r="IP9" s="78" t="str">
        <f t="shared" si="193"/>
        <v/>
      </c>
      <c r="IQ9" s="78" t="str">
        <f t="shared" si="194"/>
        <v/>
      </c>
      <c r="IR9" s="193" t="str">
        <f t="shared" si="195"/>
        <v/>
      </c>
      <c r="IS9" s="5" t="str">
        <f t="shared" si="196"/>
        <v/>
      </c>
      <c r="IT9" s="5" t="str">
        <f t="shared" si="197"/>
        <v/>
      </c>
      <c r="IU9" s="5" t="str">
        <f t="shared" si="198"/>
        <v/>
      </c>
      <c r="IV9" s="5" t="str">
        <f t="shared" si="199"/>
        <v/>
      </c>
      <c r="IW9" s="5" t="str">
        <f t="shared" si="200"/>
        <v/>
      </c>
      <c r="IX9" s="110" t="str">
        <f t="shared" si="201"/>
        <v/>
      </c>
      <c r="IY9" s="5" t="str">
        <f t="shared" si="202"/>
        <v/>
      </c>
      <c r="IZ9" s="5" t="str">
        <f t="shared" si="203"/>
        <v/>
      </c>
      <c r="JA9" s="5" t="str">
        <f t="shared" si="204"/>
        <v/>
      </c>
      <c r="JB9" s="5" t="str">
        <f t="shared" si="205"/>
        <v/>
      </c>
      <c r="JC9" s="200" t="str">
        <f t="shared" si="206"/>
        <v/>
      </c>
      <c r="JD9" s="75" t="str">
        <f t="shared" si="207"/>
        <v/>
      </c>
      <c r="JE9" s="75" t="str">
        <f t="shared" si="208"/>
        <v/>
      </c>
      <c r="JF9" s="75" t="str">
        <f t="shared" si="209"/>
        <v/>
      </c>
      <c r="JG9" s="109" t="str">
        <f t="shared" si="210"/>
        <v/>
      </c>
      <c r="JH9" s="186" t="str">
        <f t="shared" si="52"/>
        <v/>
      </c>
      <c r="JI9" s="202">
        <f t="shared" si="53"/>
        <v>300</v>
      </c>
      <c r="JJ9" s="202" t="str">
        <f t="shared" si="54"/>
        <v/>
      </c>
      <c r="JK9" s="202" t="str">
        <f t="shared" si="55"/>
        <v/>
      </c>
      <c r="JL9" s="203" t="str">
        <f t="shared" si="56"/>
        <v/>
      </c>
      <c r="JM9" s="196" t="str">
        <f t="shared" si="57"/>
        <v/>
      </c>
      <c r="JN9" s="197" t="str">
        <f t="shared" si="58"/>
        <v/>
      </c>
      <c r="JO9" s="110" t="str">
        <f t="shared" si="211"/>
        <v/>
      </c>
      <c r="JP9" s="5" t="str">
        <f t="shared" si="59"/>
        <v/>
      </c>
      <c r="JQ9" s="111" t="str">
        <f t="shared" si="60"/>
        <v/>
      </c>
      <c r="JR9" s="92" t="str">
        <f t="shared" si="61"/>
        <v/>
      </c>
      <c r="JS9" s="108" t="str">
        <f t="shared" si="62"/>
        <v/>
      </c>
      <c r="JT9" s="109" t="str">
        <f t="shared" si="62"/>
        <v/>
      </c>
      <c r="JU9" s="91" t="str">
        <f t="shared" si="63"/>
        <v>ja</v>
      </c>
      <c r="JV9" s="108" t="str">
        <f t="shared" si="64"/>
        <v/>
      </c>
      <c r="JW9" s="109" t="str">
        <f t="shared" si="65"/>
        <v/>
      </c>
      <c r="JY9" s="110" t="str">
        <f t="shared" si="66"/>
        <v/>
      </c>
      <c r="JZ9" s="78" t="str">
        <f t="shared" si="66"/>
        <v/>
      </c>
      <c r="KA9" s="78">
        <f t="shared" si="67"/>
        <v>0</v>
      </c>
      <c r="KB9" s="111">
        <f t="shared" si="68"/>
        <v>0</v>
      </c>
      <c r="KD9" s="84" t="str">
        <f t="shared" si="69"/>
        <v>Englisch</v>
      </c>
      <c r="KE9" s="22" t="str">
        <f t="shared" si="70"/>
        <v/>
      </c>
      <c r="KF9" s="22" t="str">
        <f t="shared" si="70"/>
        <v/>
      </c>
      <c r="KG9" s="10"/>
      <c r="KH9" s="30" t="str">
        <f>IFERROR(IF(J9="","",J9),"")</f>
        <v/>
      </c>
      <c r="KI9" s="135"/>
      <c r="KJ9" s="279" t="str">
        <f>IF(KB9=0,"",IF(J9="",ROUND((KA9/KB9),2),IF(KB9=0,"",ROUND((KA9+(2*O9))/(2+KB9),2))))</f>
        <v/>
      </c>
      <c r="KK9" s="280"/>
      <c r="KL9" s="275" t="str">
        <f t="shared" si="212"/>
        <v/>
      </c>
      <c r="KM9" s="275"/>
      <c r="KN9" s="168" t="str">
        <f>IF(KJ9="","",INDEX(Noten_tab[],MATCH(KL9,Noten_tab[Punkte],0),2))</f>
        <v/>
      </c>
      <c r="KO9" s="5" t="str">
        <f t="shared" si="71"/>
        <v/>
      </c>
    </row>
    <row r="10" spans="2:301" ht="18.75" customHeight="1" x14ac:dyDescent="0.25">
      <c r="B10" s="13" t="s">
        <v>185</v>
      </c>
      <c r="C10" s="29" t="s">
        <v>49</v>
      </c>
      <c r="D10" s="26"/>
      <c r="E10" s="26"/>
      <c r="J10" s="4"/>
      <c r="K10" s="14"/>
      <c r="L10" s="14"/>
      <c r="M10" s="189" t="str">
        <f t="shared" si="72"/>
        <v/>
      </c>
      <c r="N10" s="189" t="str">
        <f t="shared" si="0"/>
        <v/>
      </c>
      <c r="O10" s="135"/>
      <c r="P10" s="12"/>
      <c r="Q10" s="88"/>
      <c r="R10" s="92">
        <f t="shared" si="73"/>
        <v>0</v>
      </c>
      <c r="S10" s="98" t="str">
        <f t="shared" ref="S10:S14" si="215">IF(COUNT(M10:N10)=0,"",AVERAGE(M10:N10))</f>
        <v/>
      </c>
      <c r="T10" s="99">
        <f t="shared" ref="T10:T14" si="216">IF(COUNT(M10:N10)&lt;2,MIN(M10:N10),(SUM(M10:N10)-MIN(M10:N10))/(COUNT(M10:N10)-1))</f>
        <v>0</v>
      </c>
      <c r="U10" s="99"/>
      <c r="V10" s="99"/>
      <c r="W10" s="99" t="str">
        <f t="shared" si="74"/>
        <v/>
      </c>
      <c r="X10" s="99">
        <f t="shared" si="75"/>
        <v>0</v>
      </c>
      <c r="Y10" s="99" t="str">
        <f t="shared" si="76"/>
        <v/>
      </c>
      <c r="Z10" s="101">
        <f t="shared" si="77"/>
        <v>1</v>
      </c>
      <c r="AA10" s="78">
        <f t="shared" si="78"/>
        <v>0.1</v>
      </c>
      <c r="AB10" s="78" t="str">
        <f t="shared" si="79"/>
        <v/>
      </c>
      <c r="AC10" s="78" t="str">
        <f t="shared" si="80"/>
        <v/>
      </c>
      <c r="AD10" s="78" t="str">
        <f t="shared" si="81"/>
        <v/>
      </c>
      <c r="AE10" s="78" t="str">
        <f t="shared" si="82"/>
        <v/>
      </c>
      <c r="AF10" s="78" t="str">
        <f>IF(AE10="","",INDEX(Noten_tab[],MATCH(AE10,Noten_tab[Punkte],0),2))</f>
        <v/>
      </c>
      <c r="AG10" s="110" t="str">
        <f t="shared" si="1"/>
        <v/>
      </c>
      <c r="AH10" s="154">
        <f>IF($C10="aut.",(Z10*300),"")</f>
        <v>300</v>
      </c>
      <c r="AI10" s="31" t="str">
        <f t="shared" si="2"/>
        <v/>
      </c>
      <c r="AJ10" s="111" t="str">
        <f t="shared" si="3"/>
        <v/>
      </c>
      <c r="AK10" s="108" t="str">
        <f t="shared" si="83"/>
        <v/>
      </c>
      <c r="AL10" s="118" t="str">
        <f t="shared" si="84"/>
        <v/>
      </c>
      <c r="AM10" s="110" t="str">
        <f t="shared" si="85"/>
        <v/>
      </c>
      <c r="AN10" s="78" t="str">
        <f t="shared" si="86"/>
        <v/>
      </c>
      <c r="AO10" s="111" t="str">
        <f t="shared" si="87"/>
        <v/>
      </c>
      <c r="AP10" s="92" t="str">
        <f t="shared" si="4"/>
        <v/>
      </c>
      <c r="AQ10" s="108" t="str">
        <f t="shared" si="88"/>
        <v/>
      </c>
      <c r="AR10" s="109" t="str">
        <f t="shared" si="89"/>
        <v/>
      </c>
      <c r="AS10" s="91" t="str">
        <f t="shared" si="90"/>
        <v>ja</v>
      </c>
      <c r="AT10" s="108" t="str">
        <f t="shared" si="91"/>
        <v/>
      </c>
      <c r="AU10" s="109" t="str">
        <f t="shared" si="92"/>
        <v/>
      </c>
      <c r="AV10" s="77"/>
      <c r="AW10" s="110" t="str">
        <f t="shared" si="93"/>
        <v/>
      </c>
      <c r="AX10" s="78" t="str">
        <f t="shared" ref="AX10:AX14" si="217">IF(LEFT(BD10,1)="(","",BD10)</f>
        <v/>
      </c>
      <c r="AY10" s="78">
        <f t="shared" si="5"/>
        <v>0</v>
      </c>
      <c r="AZ10" s="111">
        <f t="shared" si="6"/>
        <v>0</v>
      </c>
      <c r="BA10" s="77"/>
      <c r="BB10" s="11" t="str">
        <f t="shared" si="7"/>
        <v>Geschichte/Politik und Gesellschaft</v>
      </c>
      <c r="BC10" s="22" t="str">
        <f t="shared" si="8"/>
        <v/>
      </c>
      <c r="BD10" s="22" t="str">
        <f t="shared" si="8"/>
        <v/>
      </c>
      <c r="BE10" s="10"/>
      <c r="BF10" s="20"/>
      <c r="BG10" s="136"/>
      <c r="BH10" s="274" t="str">
        <f>IF(AZ10=0,"",ROUND((AY10/AZ10),2))</f>
        <v/>
      </c>
      <c r="BI10" s="274"/>
      <c r="BJ10" s="275" t="str">
        <f t="shared" si="213"/>
        <v/>
      </c>
      <c r="BK10" s="275"/>
      <c r="BL10" s="168" t="str">
        <f>IF(BH10="","",INDEX(Noten_tab[],MATCH(BJ10,Noten_tab[Punkte],0),2))</f>
        <v/>
      </c>
      <c r="BM10" s="5" t="str">
        <f t="shared" si="9"/>
        <v/>
      </c>
      <c r="BN10" s="78"/>
      <c r="BO10" s="10"/>
      <c r="BP10" s="143">
        <f t="shared" si="10"/>
        <v>0</v>
      </c>
      <c r="BQ10" s="99" t="str">
        <f>IF(COUNT(M10:N10)=0,"",AVERAGE(M10:N10))</f>
        <v/>
      </c>
      <c r="BR10" s="99">
        <f>IF(COUNT(M10:N10)&lt;2,MIN(M10:N10),(SUM(M10:N10)-MIN(M10:N10))/(COUNT(M10:N10)-1))</f>
        <v>0</v>
      </c>
      <c r="BS10" s="99"/>
      <c r="BT10" s="99"/>
      <c r="BU10" s="99" t="str">
        <f t="shared" si="94"/>
        <v/>
      </c>
      <c r="BV10" s="99">
        <f t="shared" si="95"/>
        <v>0</v>
      </c>
      <c r="BW10" s="99" t="str">
        <f t="shared" si="96"/>
        <v/>
      </c>
      <c r="BX10" s="101">
        <f t="shared" si="97"/>
        <v>1</v>
      </c>
      <c r="BY10" s="110" t="str">
        <f t="shared" si="11"/>
        <v/>
      </c>
      <c r="BZ10" s="154">
        <f>IF($C10="aut.",(BX10*300),"")</f>
        <v>300</v>
      </c>
      <c r="CA10" s="31" t="str">
        <f t="shared" si="12"/>
        <v/>
      </c>
      <c r="CB10" s="111" t="str">
        <f t="shared" si="13"/>
        <v/>
      </c>
      <c r="CC10" s="108" t="str">
        <f t="shared" si="14"/>
        <v/>
      </c>
      <c r="CD10" s="118" t="str">
        <f t="shared" si="98"/>
        <v/>
      </c>
      <c r="CE10" s="110" t="str">
        <f t="shared" si="99"/>
        <v/>
      </c>
      <c r="CF10" s="78" t="str">
        <f t="shared" si="15"/>
        <v/>
      </c>
      <c r="CG10" s="111" t="str">
        <f t="shared" si="16"/>
        <v/>
      </c>
      <c r="CH10" s="92" t="str">
        <f t="shared" si="17"/>
        <v/>
      </c>
      <c r="CI10" s="108" t="str">
        <f t="shared" si="18"/>
        <v/>
      </c>
      <c r="CJ10" s="109" t="str">
        <f t="shared" si="18"/>
        <v/>
      </c>
      <c r="CK10" s="91" t="str">
        <f t="shared" si="100"/>
        <v>ja</v>
      </c>
      <c r="CL10" s="108" t="str">
        <f t="shared" si="101"/>
        <v/>
      </c>
      <c r="CM10" s="109" t="str">
        <f t="shared" si="102"/>
        <v/>
      </c>
      <c r="CN10" s="77"/>
      <c r="CO10" s="110" t="str">
        <f t="shared" si="19"/>
        <v/>
      </c>
      <c r="CP10" s="78" t="str">
        <f t="shared" si="19"/>
        <v/>
      </c>
      <c r="CQ10" s="78">
        <f t="shared" si="20"/>
        <v>0</v>
      </c>
      <c r="CR10" s="111">
        <f t="shared" si="21"/>
        <v>0</v>
      </c>
      <c r="CT10" s="84" t="str">
        <f t="shared" si="103"/>
        <v>Geschichte/Politik und Gesellschaft</v>
      </c>
      <c r="CU10" s="22" t="str">
        <f t="shared" si="22"/>
        <v/>
      </c>
      <c r="CV10" s="22" t="str">
        <f t="shared" si="22"/>
        <v/>
      </c>
      <c r="CW10" s="10"/>
      <c r="CX10" s="20"/>
      <c r="CY10" s="134"/>
      <c r="CZ10" s="274" t="str">
        <f>IF(CR10=0,"",ROUND((CQ10/CR10),2))</f>
        <v/>
      </c>
      <c r="DA10" s="274"/>
      <c r="DB10" s="275" t="str">
        <f t="shared" si="104"/>
        <v/>
      </c>
      <c r="DC10" s="275"/>
      <c r="DD10" s="168" t="str">
        <f>IF(CZ10="","",INDEX(Noten_tab[],MATCH(DB10,Noten_tab[Punkte],0),2))</f>
        <v/>
      </c>
      <c r="DE10" s="5" t="str">
        <f t="shared" si="23"/>
        <v/>
      </c>
      <c r="DH10" s="110" t="str">
        <f t="shared" si="24"/>
        <v/>
      </c>
      <c r="DI10" s="5">
        <f t="shared" si="24"/>
        <v>0</v>
      </c>
      <c r="DJ10" s="5" t="str">
        <f>IF(DH10="","",INDEX(Noten_tab[],MATCH(DH10,Noten_tab[Punkte],0),3))</f>
        <v/>
      </c>
      <c r="DK10" s="5">
        <f>IF(DI10="","",INDEX(Noten_tab[],MATCH(DI10,Noten_tab[Punkte],0),3))</f>
        <v>6</v>
      </c>
      <c r="DL10" s="75" t="str">
        <f t="shared" si="25"/>
        <v>Verbesserung</v>
      </c>
      <c r="DM10" s="5" t="str">
        <f t="shared" si="105"/>
        <v/>
      </c>
      <c r="DN10" s="75" t="str">
        <f t="shared" si="26"/>
        <v/>
      </c>
      <c r="DO10" s="5">
        <f t="shared" si="27"/>
        <v>0</v>
      </c>
      <c r="DP10" s="201" t="str">
        <f>IFERROR(IF(DO10="","",$BE$27-INDEX(Schnitt_von_bis_390_tab[],MATCH($BE$28,Schnitt_von_bis_390_tab[Schnitt],0),3)),"")</f>
        <v/>
      </c>
      <c r="DQ10" s="190" t="str">
        <f t="shared" si="106"/>
        <v/>
      </c>
      <c r="DR10" s="191" t="str">
        <f t="shared" si="107"/>
        <v/>
      </c>
      <c r="DS10" s="192" t="str">
        <f t="shared" si="108"/>
        <v/>
      </c>
      <c r="DT10" s="78">
        <f t="shared" si="109"/>
        <v>0</v>
      </c>
      <c r="DU10" s="193" t="str">
        <f t="shared" si="110"/>
        <v/>
      </c>
      <c r="DV10" s="194">
        <f t="shared" si="111"/>
        <v>0</v>
      </c>
      <c r="DW10" s="5" t="str">
        <f t="shared" si="112"/>
        <v/>
      </c>
      <c r="DX10" s="5" t="str">
        <f t="shared" si="113"/>
        <v/>
      </c>
      <c r="DY10" s="192" t="str">
        <f t="shared" si="114"/>
        <v/>
      </c>
      <c r="DZ10" s="5" t="str">
        <f t="shared" si="115"/>
        <v/>
      </c>
      <c r="EA10" s="192" t="str">
        <f t="shared" si="116"/>
        <v/>
      </c>
      <c r="EB10" s="5" t="str">
        <f t="shared" si="117"/>
        <v/>
      </c>
      <c r="EC10" s="192" t="str">
        <f t="shared" si="118"/>
        <v/>
      </c>
      <c r="ED10" s="5" t="str">
        <f t="shared" si="119"/>
        <v/>
      </c>
      <c r="EE10" s="192" t="str">
        <f t="shared" si="120"/>
        <v/>
      </c>
      <c r="EF10" s="111" t="str">
        <f t="shared" si="121"/>
        <v/>
      </c>
      <c r="EG10" s="5" t="str">
        <f t="shared" si="122"/>
        <v/>
      </c>
      <c r="EH10" s="5" t="str">
        <f t="shared" si="123"/>
        <v/>
      </c>
      <c r="EI10" s="5" t="str">
        <f t="shared" si="124"/>
        <v/>
      </c>
      <c r="EJ10" s="5" t="str">
        <f t="shared" si="125"/>
        <v/>
      </c>
      <c r="EK10" s="5" t="str">
        <f t="shared" si="126"/>
        <v/>
      </c>
      <c r="EL10" s="192" t="str">
        <f t="shared" si="127"/>
        <v/>
      </c>
      <c r="EM10" s="78" t="str">
        <f t="shared" si="128"/>
        <v/>
      </c>
      <c r="EN10" s="78" t="str">
        <f t="shared" si="129"/>
        <v/>
      </c>
      <c r="EO10" s="78" t="str">
        <f t="shared" si="130"/>
        <v/>
      </c>
      <c r="EP10" s="193" t="str">
        <f t="shared" si="131"/>
        <v/>
      </c>
      <c r="EQ10" s="5" t="str">
        <f t="shared" si="132"/>
        <v/>
      </c>
      <c r="ER10" s="5" t="str">
        <f t="shared" si="133"/>
        <v/>
      </c>
      <c r="ES10" s="5" t="str">
        <f t="shared" si="134"/>
        <v/>
      </c>
      <c r="ET10" s="5" t="str">
        <f t="shared" si="135"/>
        <v/>
      </c>
      <c r="EU10" s="5" t="str">
        <f t="shared" si="136"/>
        <v/>
      </c>
      <c r="EV10" s="192" t="str">
        <f t="shared" si="137"/>
        <v/>
      </c>
      <c r="EW10" s="78" t="str">
        <f t="shared" si="138"/>
        <v/>
      </c>
      <c r="EX10" s="78" t="str">
        <f t="shared" si="139"/>
        <v/>
      </c>
      <c r="EY10" s="78" t="str">
        <f t="shared" si="140"/>
        <v/>
      </c>
      <c r="EZ10" s="193" t="str">
        <f t="shared" si="141"/>
        <v/>
      </c>
      <c r="FA10" s="5" t="str">
        <f t="shared" si="142"/>
        <v/>
      </c>
      <c r="FB10" s="5" t="str">
        <f t="shared" si="143"/>
        <v/>
      </c>
      <c r="FC10" s="5" t="str">
        <f t="shared" si="144"/>
        <v/>
      </c>
      <c r="FD10" s="5" t="str">
        <f t="shared" si="145"/>
        <v/>
      </c>
      <c r="FE10" s="5" t="str">
        <f t="shared" si="146"/>
        <v/>
      </c>
      <c r="FF10" s="108" t="str">
        <f t="shared" si="147"/>
        <v/>
      </c>
      <c r="FG10" s="75" t="str">
        <f t="shared" si="148"/>
        <v/>
      </c>
      <c r="FH10" s="75" t="str">
        <f t="shared" si="149"/>
        <v/>
      </c>
      <c r="FI10" s="75" t="str">
        <f t="shared" si="150"/>
        <v/>
      </c>
      <c r="FJ10" s="77" t="str">
        <f t="shared" si="151"/>
        <v/>
      </c>
      <c r="FK10" s="108" t="str">
        <f t="shared" si="152"/>
        <v/>
      </c>
      <c r="FL10" s="77" t="str">
        <f t="shared" si="153"/>
        <v/>
      </c>
      <c r="FM10" s="77" t="str">
        <f t="shared" si="154"/>
        <v/>
      </c>
      <c r="FN10" s="77" t="str">
        <f t="shared" si="155"/>
        <v/>
      </c>
      <c r="FO10" s="77" t="str">
        <f t="shared" si="156"/>
        <v/>
      </c>
      <c r="FP10" s="186" t="str">
        <f t="shared" si="28"/>
        <v/>
      </c>
      <c r="FQ10" s="202">
        <f t="shared" si="29"/>
        <v>300</v>
      </c>
      <c r="FR10" s="202" t="str">
        <f t="shared" si="30"/>
        <v/>
      </c>
      <c r="FS10" s="202" t="str">
        <f t="shared" si="31"/>
        <v/>
      </c>
      <c r="FT10" s="203" t="str">
        <f t="shared" si="32"/>
        <v/>
      </c>
      <c r="FU10" s="196" t="str">
        <f t="shared" si="33"/>
        <v/>
      </c>
      <c r="FV10" s="197" t="str">
        <f t="shared" si="34"/>
        <v/>
      </c>
      <c r="FW10" s="110" t="str">
        <f t="shared" si="157"/>
        <v/>
      </c>
      <c r="FX10" s="5" t="str">
        <f t="shared" si="35"/>
        <v/>
      </c>
      <c r="FY10" s="111" t="str">
        <f t="shared" si="36"/>
        <v/>
      </c>
      <c r="FZ10" s="92" t="str">
        <f t="shared" si="37"/>
        <v/>
      </c>
      <c r="GA10" s="108" t="str">
        <f t="shared" si="38"/>
        <v/>
      </c>
      <c r="GB10" s="109" t="str">
        <f t="shared" si="38"/>
        <v/>
      </c>
      <c r="GC10" s="91" t="str">
        <f t="shared" si="158"/>
        <v>ja</v>
      </c>
      <c r="GD10" s="108" t="str">
        <f t="shared" si="159"/>
        <v/>
      </c>
      <c r="GE10" s="109" t="str">
        <f t="shared" si="160"/>
        <v/>
      </c>
      <c r="GG10" s="110" t="str">
        <f t="shared" si="161"/>
        <v/>
      </c>
      <c r="GH10" s="78" t="str">
        <f t="shared" ref="GH10:GH14" si="218">IF(LEFT(GN10,1)="(","",GN10)</f>
        <v/>
      </c>
      <c r="GI10" s="78">
        <f t="shared" si="39"/>
        <v>0</v>
      </c>
      <c r="GJ10" s="111">
        <f t="shared" si="40"/>
        <v>0</v>
      </c>
      <c r="GK10" s="77"/>
      <c r="GL10" s="11" t="str">
        <f t="shared" si="41"/>
        <v>Geschichte/Politik und Gesellschaft</v>
      </c>
      <c r="GM10" s="22" t="str">
        <f t="shared" si="42"/>
        <v/>
      </c>
      <c r="GN10" s="22" t="str">
        <f t="shared" si="42"/>
        <v/>
      </c>
      <c r="GO10" s="10"/>
      <c r="GQ10" s="136"/>
      <c r="GR10" s="274" t="str">
        <f>IF(GJ10=0,"",ROUND((GI10/GJ10),2))</f>
        <v/>
      </c>
      <c r="GS10" s="274"/>
      <c r="GT10" s="275" t="str">
        <f t="shared" si="214"/>
        <v/>
      </c>
      <c r="GU10" s="275"/>
      <c r="GV10" s="168" t="str">
        <f>IF(GR10="","",INDEX(Noten_tab[],MATCH(GT10,Noten_tab[Punkte],0),2))</f>
        <v/>
      </c>
      <c r="GW10" s="5" t="str">
        <f t="shared" si="43"/>
        <v/>
      </c>
      <c r="GX10" s="75"/>
      <c r="GY10" s="110" t="str">
        <f t="shared" si="44"/>
        <v/>
      </c>
      <c r="GZ10" s="5">
        <f t="shared" si="44"/>
        <v>0</v>
      </c>
      <c r="HA10" s="5" t="str">
        <f>IF(GY10="","",INDEX(Noten_tab[],MATCH(GY10,Noten_tab[Punkte],0),3))</f>
        <v/>
      </c>
      <c r="HB10" s="5">
        <f>IF(GZ10="","",INDEX(Noten_tab[],MATCH(GZ10,Noten_tab[Punkte],0),3))</f>
        <v>6</v>
      </c>
      <c r="HC10" s="75" t="str">
        <f t="shared" si="45"/>
        <v>Verbesserung</v>
      </c>
      <c r="HD10" s="5" t="str">
        <f t="shared" si="46"/>
        <v/>
      </c>
      <c r="HE10" s="75" t="str">
        <f t="shared" si="47"/>
        <v/>
      </c>
      <c r="HF10" s="5">
        <f t="shared" si="48"/>
        <v>0</v>
      </c>
      <c r="HG10" s="5">
        <f t="shared" si="162"/>
        <v>390</v>
      </c>
      <c r="HH10" s="201" t="str">
        <f>IFERROR(IF(HF10="","",$CW$28-IF($CU$56=390,INDEX(Schnitt_von_bis_390_tab[],MATCH($CW$29,Schnitt_von_bis_390_tab[Schnitt],0),3),INDEX(Schnitt_von_bis_420_tab[],MATCH($CW$29,Schnitt_von_bis_420_tab[Schnitt],0),3))),"")</f>
        <v/>
      </c>
      <c r="HI10" s="198" t="str">
        <f t="shared" si="49"/>
        <v/>
      </c>
      <c r="HJ10" s="199" t="str">
        <f t="shared" si="50"/>
        <v/>
      </c>
      <c r="HK10" s="78" t="str">
        <f t="shared" si="163"/>
        <v/>
      </c>
      <c r="HL10" s="78" t="str">
        <f t="shared" si="164"/>
        <v/>
      </c>
      <c r="HM10" s="193" t="str">
        <f t="shared" si="51"/>
        <v/>
      </c>
      <c r="HN10" s="194">
        <f t="shared" si="165"/>
        <v>0</v>
      </c>
      <c r="HO10" s="5" t="str">
        <f t="shared" si="166"/>
        <v/>
      </c>
      <c r="HP10" s="5" t="str">
        <f t="shared" si="167"/>
        <v/>
      </c>
      <c r="HQ10" s="192" t="str">
        <f t="shared" si="168"/>
        <v/>
      </c>
      <c r="HR10" s="5" t="str">
        <f t="shared" si="169"/>
        <v/>
      </c>
      <c r="HS10" s="192" t="str">
        <f t="shared" si="170"/>
        <v/>
      </c>
      <c r="HT10" s="5" t="str">
        <f t="shared" si="171"/>
        <v/>
      </c>
      <c r="HU10" s="192" t="str">
        <f t="shared" si="172"/>
        <v/>
      </c>
      <c r="HV10" s="5" t="str">
        <f t="shared" si="173"/>
        <v/>
      </c>
      <c r="HW10" s="192" t="str">
        <f t="shared" si="174"/>
        <v/>
      </c>
      <c r="HX10" s="111" t="str">
        <f t="shared" si="175"/>
        <v/>
      </c>
      <c r="HY10" s="5" t="str">
        <f t="shared" si="176"/>
        <v/>
      </c>
      <c r="HZ10" s="5" t="str">
        <f t="shared" si="177"/>
        <v/>
      </c>
      <c r="IA10" s="5" t="str">
        <f t="shared" si="178"/>
        <v/>
      </c>
      <c r="IB10" s="5" t="str">
        <f t="shared" si="179"/>
        <v/>
      </c>
      <c r="IC10" s="5" t="str">
        <f t="shared" si="180"/>
        <v/>
      </c>
      <c r="ID10" s="192" t="str">
        <f t="shared" si="181"/>
        <v/>
      </c>
      <c r="IE10" s="78" t="str">
        <f t="shared" si="182"/>
        <v/>
      </c>
      <c r="IF10" s="78" t="str">
        <f t="shared" si="183"/>
        <v/>
      </c>
      <c r="IG10" s="78" t="str">
        <f t="shared" si="184"/>
        <v/>
      </c>
      <c r="IH10" s="193" t="str">
        <f t="shared" si="185"/>
        <v/>
      </c>
      <c r="II10" s="5" t="str">
        <f t="shared" si="186"/>
        <v/>
      </c>
      <c r="IJ10" s="5" t="str">
        <f t="shared" si="187"/>
        <v/>
      </c>
      <c r="IK10" s="5" t="str">
        <f t="shared" si="188"/>
        <v/>
      </c>
      <c r="IL10" s="5" t="str">
        <f t="shared" si="189"/>
        <v/>
      </c>
      <c r="IM10" s="5" t="str">
        <f t="shared" si="190"/>
        <v/>
      </c>
      <c r="IN10" s="192" t="str">
        <f t="shared" si="191"/>
        <v/>
      </c>
      <c r="IO10" s="78" t="str">
        <f t="shared" si="192"/>
        <v/>
      </c>
      <c r="IP10" s="78" t="str">
        <f t="shared" si="193"/>
        <v/>
      </c>
      <c r="IQ10" s="78" t="str">
        <f t="shared" si="194"/>
        <v/>
      </c>
      <c r="IR10" s="193" t="str">
        <f t="shared" si="195"/>
        <v/>
      </c>
      <c r="IS10" s="5" t="str">
        <f t="shared" si="196"/>
        <v/>
      </c>
      <c r="IT10" s="5" t="str">
        <f t="shared" si="197"/>
        <v/>
      </c>
      <c r="IU10" s="5" t="str">
        <f t="shared" si="198"/>
        <v/>
      </c>
      <c r="IV10" s="5" t="str">
        <f t="shared" si="199"/>
        <v/>
      </c>
      <c r="IW10" s="5" t="str">
        <f t="shared" si="200"/>
        <v/>
      </c>
      <c r="IX10" s="110" t="str">
        <f t="shared" si="201"/>
        <v/>
      </c>
      <c r="IY10" s="5" t="str">
        <f t="shared" si="202"/>
        <v/>
      </c>
      <c r="IZ10" s="5" t="str">
        <f t="shared" si="203"/>
        <v/>
      </c>
      <c r="JA10" s="5" t="str">
        <f t="shared" si="204"/>
        <v/>
      </c>
      <c r="JB10" s="5" t="str">
        <f t="shared" si="205"/>
        <v/>
      </c>
      <c r="JC10" s="200" t="str">
        <f t="shared" si="206"/>
        <v/>
      </c>
      <c r="JD10" s="75" t="str">
        <f t="shared" si="207"/>
        <v/>
      </c>
      <c r="JE10" s="75" t="str">
        <f t="shared" si="208"/>
        <v/>
      </c>
      <c r="JF10" s="75" t="str">
        <f t="shared" si="209"/>
        <v/>
      </c>
      <c r="JG10" s="109" t="str">
        <f t="shared" si="210"/>
        <v/>
      </c>
      <c r="JH10" s="186" t="str">
        <f t="shared" si="52"/>
        <v/>
      </c>
      <c r="JI10" s="202">
        <f t="shared" si="53"/>
        <v>300</v>
      </c>
      <c r="JJ10" s="202" t="str">
        <f t="shared" si="54"/>
        <v/>
      </c>
      <c r="JK10" s="202" t="str">
        <f t="shared" si="55"/>
        <v/>
      </c>
      <c r="JL10" s="203" t="str">
        <f t="shared" si="56"/>
        <v/>
      </c>
      <c r="JM10" s="196" t="str">
        <f t="shared" si="57"/>
        <v/>
      </c>
      <c r="JN10" s="197" t="str">
        <f t="shared" si="58"/>
        <v/>
      </c>
      <c r="JO10" s="110" t="str">
        <f t="shared" si="211"/>
        <v/>
      </c>
      <c r="JP10" s="5" t="str">
        <f t="shared" si="59"/>
        <v/>
      </c>
      <c r="JQ10" s="111" t="str">
        <f t="shared" si="60"/>
        <v/>
      </c>
      <c r="JR10" s="92" t="str">
        <f t="shared" si="61"/>
        <v/>
      </c>
      <c r="JS10" s="108" t="str">
        <f t="shared" si="62"/>
        <v/>
      </c>
      <c r="JT10" s="109" t="str">
        <f t="shared" si="62"/>
        <v/>
      </c>
      <c r="JU10" s="91" t="str">
        <f t="shared" si="63"/>
        <v>ja</v>
      </c>
      <c r="JV10" s="108" t="str">
        <f t="shared" si="64"/>
        <v/>
      </c>
      <c r="JW10" s="109" t="str">
        <f t="shared" si="65"/>
        <v/>
      </c>
      <c r="JY10" s="110" t="str">
        <f t="shared" si="66"/>
        <v/>
      </c>
      <c r="JZ10" s="78" t="str">
        <f t="shared" si="66"/>
        <v/>
      </c>
      <c r="KA10" s="78">
        <f t="shared" si="67"/>
        <v>0</v>
      </c>
      <c r="KB10" s="111">
        <f t="shared" si="68"/>
        <v>0</v>
      </c>
      <c r="KD10" s="84" t="str">
        <f t="shared" si="69"/>
        <v>Geschichte/Politik und Gesellschaft</v>
      </c>
      <c r="KE10" s="22" t="str">
        <f t="shared" si="70"/>
        <v/>
      </c>
      <c r="KF10" s="22" t="str">
        <f t="shared" si="70"/>
        <v/>
      </c>
      <c r="KG10" s="10"/>
      <c r="KH10" s="20"/>
      <c r="KI10" s="134"/>
      <c r="KJ10" s="279" t="str">
        <f>IF(KB10=0,"",ROUND((KA10/KB10),2))</f>
        <v/>
      </c>
      <c r="KK10" s="280"/>
      <c r="KL10" s="275" t="str">
        <f t="shared" si="212"/>
        <v/>
      </c>
      <c r="KM10" s="275"/>
      <c r="KN10" s="168" t="str">
        <f>IF(KJ10="","",INDEX(Noten_tab[],MATCH(KL10,Noten_tab[Punkte],0),2))</f>
        <v/>
      </c>
      <c r="KO10" s="5" t="str">
        <f t="shared" si="71"/>
        <v/>
      </c>
    </row>
    <row r="11" spans="2:301" ht="18.75" customHeight="1" x14ac:dyDescent="0.25">
      <c r="B11" s="13" t="s">
        <v>6</v>
      </c>
      <c r="C11" s="29" t="s">
        <v>49</v>
      </c>
      <c r="D11" s="26"/>
      <c r="E11" s="26"/>
      <c r="G11" s="3"/>
      <c r="H11" s="3"/>
      <c r="I11" s="30" t="str">
        <f>IF(AND(G11="",H11=""),"",IF(H11="",G11,IF(G11="",H11,((G11*2)+H11)/3)))</f>
        <v/>
      </c>
      <c r="J11" s="30" t="str">
        <f>IF(AND(G11="",H11=""),"",IF(I11&lt;1,0,ROUND(I11,0)))</f>
        <v/>
      </c>
      <c r="K11" s="14">
        <f>IF(J11="",5,IF(J11=0,10,IF(J11&lt;4,1,0)))</f>
        <v>5</v>
      </c>
      <c r="L11" s="14"/>
      <c r="M11" s="189" t="str">
        <f t="shared" si="72"/>
        <v/>
      </c>
      <c r="N11" s="189" t="str">
        <f t="shared" si="0"/>
        <v/>
      </c>
      <c r="O11" s="189" t="str">
        <f t="shared" ref="O11:O12" si="219">IF(J11="","",J11)</f>
        <v/>
      </c>
      <c r="P11" s="12"/>
      <c r="Q11" s="88"/>
      <c r="R11" s="92">
        <f t="shared" si="73"/>
        <v>0</v>
      </c>
      <c r="S11" s="98" t="str">
        <f>IF(O11&lt;&gt;"","",IF(COUNT(M11:N11)=0,"",AVERAGE(M11:N11)))</f>
        <v/>
      </c>
      <c r="T11" s="99">
        <f>IF(O11&lt;&gt;"","",IF(COUNT(M11:N11)&lt;2,MIN(M11:N11),(SUM(M11:N11)-MIN(M11:N11))/(COUNT(M11:N11)-1)))</f>
        <v>0</v>
      </c>
      <c r="U11" s="99" t="str">
        <f>IF(O11="","",IF(COUNT(M11:N11)=0,O11,SUM(IF(M11="",0,M11),IF(N11="",0,N11),2*O11)/(COUNT(M11:N11)+2)))</f>
        <v/>
      </c>
      <c r="V11" s="99" t="str">
        <f>IF(O11="","",IF(COUNT(M11:N11)=0,"",IF(COUNT(M11:N11)&lt;2,(MIN(M11:N11)+2*O11)/3,(SUM(IF(M11="",0,M11),IF(N11="",0,N11),2*O11)-MIN(M11:N11))/((COUNT(M11:N11)-1)+2))))</f>
        <v/>
      </c>
      <c r="W11" s="99" t="str">
        <f t="shared" si="74"/>
        <v/>
      </c>
      <c r="X11" s="99">
        <f t="shared" si="75"/>
        <v>0</v>
      </c>
      <c r="Y11" s="99" t="str">
        <f t="shared" si="76"/>
        <v/>
      </c>
      <c r="Z11" s="101">
        <f t="shared" si="77"/>
        <v>1</v>
      </c>
      <c r="AA11" s="78">
        <f t="shared" si="78"/>
        <v>0.11</v>
      </c>
      <c r="AB11" s="78" t="str">
        <f t="shared" si="79"/>
        <v/>
      </c>
      <c r="AC11" s="78" t="str">
        <f t="shared" si="80"/>
        <v/>
      </c>
      <c r="AD11" s="78" t="str">
        <f t="shared" si="81"/>
        <v/>
      </c>
      <c r="AE11" s="78" t="str">
        <f t="shared" si="82"/>
        <v/>
      </c>
      <c r="AF11" s="78" t="str">
        <f>IF(AE11="","",INDEX(Noten_tab[],MATCH(AE11,Noten_tab[Punkte],0),2))</f>
        <v/>
      </c>
      <c r="AG11" s="110" t="str">
        <f t="shared" si="1"/>
        <v/>
      </c>
      <c r="AH11" s="154">
        <f>IF($C11="aut.",((Z11*300)),"")</f>
        <v>300</v>
      </c>
      <c r="AI11" s="31" t="str">
        <f t="shared" si="2"/>
        <v/>
      </c>
      <c r="AJ11" s="111" t="str">
        <f t="shared" si="3"/>
        <v/>
      </c>
      <c r="AK11" s="108" t="str">
        <f t="shared" si="83"/>
        <v/>
      </c>
      <c r="AL11" s="118" t="str">
        <f t="shared" si="84"/>
        <v/>
      </c>
      <c r="AM11" s="110" t="str">
        <f t="shared" si="85"/>
        <v/>
      </c>
      <c r="AN11" s="78" t="str">
        <f t="shared" si="86"/>
        <v/>
      </c>
      <c r="AO11" s="111" t="str">
        <f t="shared" si="87"/>
        <v/>
      </c>
      <c r="AP11" s="92" t="str">
        <f t="shared" si="4"/>
        <v/>
      </c>
      <c r="AQ11" s="108" t="str">
        <f t="shared" si="88"/>
        <v/>
      </c>
      <c r="AR11" s="109" t="str">
        <f t="shared" si="89"/>
        <v/>
      </c>
      <c r="AS11" s="91" t="str">
        <f t="shared" si="90"/>
        <v>ja</v>
      </c>
      <c r="AT11" s="108" t="str">
        <f t="shared" si="91"/>
        <v/>
      </c>
      <c r="AU11" s="109" t="str">
        <f t="shared" si="92"/>
        <v/>
      </c>
      <c r="AV11" s="77"/>
      <c r="AW11" s="110" t="str">
        <f t="shared" si="93"/>
        <v/>
      </c>
      <c r="AX11" s="78" t="str">
        <f t="shared" si="217"/>
        <v/>
      </c>
      <c r="AY11" s="78">
        <f t="shared" si="5"/>
        <v>0</v>
      </c>
      <c r="AZ11" s="111">
        <f t="shared" si="6"/>
        <v>0</v>
      </c>
      <c r="BA11" s="77"/>
      <c r="BB11" s="11" t="str">
        <f t="shared" si="7"/>
        <v>Mathematik</v>
      </c>
      <c r="BC11" s="22" t="str">
        <f t="shared" si="8"/>
        <v/>
      </c>
      <c r="BD11" s="22" t="str">
        <f t="shared" si="8"/>
        <v/>
      </c>
      <c r="BE11" s="10"/>
      <c r="BF11" s="30" t="str">
        <f>IFERROR(IF(J11="","",J11),"")</f>
        <v/>
      </c>
      <c r="BG11" s="136"/>
      <c r="BH11" s="274" t="str">
        <f t="shared" ref="BH11:BH12" si="220">IF(AZ11=0,"",IF(J11="",ROUND((AY11/AZ11),2),IF(AZ11=0,"",ROUND((AY11+(2*J11))/(2+AZ11),2))))</f>
        <v/>
      </c>
      <c r="BI11" s="274"/>
      <c r="BJ11" s="275" t="str">
        <f t="shared" si="213"/>
        <v/>
      </c>
      <c r="BK11" s="275"/>
      <c r="BL11" s="168" t="str">
        <f>IF(BH11="","",INDEX(Noten_tab[],MATCH(BJ11,Noten_tab[Punkte],0),2))</f>
        <v/>
      </c>
      <c r="BM11" s="5" t="str">
        <f t="shared" si="9"/>
        <v/>
      </c>
      <c r="BN11" s="78"/>
      <c r="BO11" s="10"/>
      <c r="BP11" s="143">
        <f t="shared" si="10"/>
        <v>0</v>
      </c>
      <c r="BQ11" s="99" t="str">
        <f>IF(O11&lt;&gt;"","",IF(COUNT(M11:N11)=0,"",AVERAGE(M11:N11)))</f>
        <v/>
      </c>
      <c r="BR11" s="99">
        <f>IF(O11&lt;&gt;"","",IF(COUNT(M11:N11)&lt;2,MIN(M11:N11),(SUM(M11:N11)-MIN(M11:N11))/(COUNT(M11:N11)-1)))</f>
        <v>0</v>
      </c>
      <c r="BS11" s="99" t="str">
        <f>IF(O11="","",IF(COUNT(M11:N11)=0,O11,SUM(IF(M11="",0,M11),IF(N11="",0,N11),2*O11)/(COUNT(M11:N11)+2)))</f>
        <v/>
      </c>
      <c r="BT11" s="99" t="str">
        <f>IF(O11="","",IF(COUNT(M11:N11)=0,"",IF(COUNT(M11:N11)&lt;2,(MIN(M11:N11)+2*O11)/3,(SUM(IF(M11="",0,M11),IF(N11="",0,N11),2*O11)-MIN(M11:N11))/((COUNT(M11:N11)-1)+2))))</f>
        <v/>
      </c>
      <c r="BU11" s="99" t="str">
        <f t="shared" si="94"/>
        <v/>
      </c>
      <c r="BV11" s="99">
        <f t="shared" si="95"/>
        <v>0</v>
      </c>
      <c r="BW11" s="99" t="str">
        <f t="shared" si="96"/>
        <v/>
      </c>
      <c r="BX11" s="101">
        <f t="shared" si="97"/>
        <v>1</v>
      </c>
      <c r="BY11" s="110" t="str">
        <f t="shared" si="11"/>
        <v/>
      </c>
      <c r="BZ11" s="154">
        <f>IF($C11="aut.",((BX11*300)),"")</f>
        <v>300</v>
      </c>
      <c r="CA11" s="31" t="str">
        <f t="shared" si="12"/>
        <v/>
      </c>
      <c r="CB11" s="111" t="str">
        <f t="shared" si="13"/>
        <v/>
      </c>
      <c r="CC11" s="108" t="str">
        <f t="shared" si="14"/>
        <v/>
      </c>
      <c r="CD11" s="118" t="str">
        <f t="shared" si="98"/>
        <v/>
      </c>
      <c r="CE11" s="110" t="str">
        <f t="shared" si="99"/>
        <v/>
      </c>
      <c r="CF11" s="78" t="str">
        <f t="shared" si="15"/>
        <v/>
      </c>
      <c r="CG11" s="111" t="str">
        <f t="shared" si="16"/>
        <v/>
      </c>
      <c r="CH11" s="92" t="str">
        <f t="shared" si="17"/>
        <v/>
      </c>
      <c r="CI11" s="108" t="str">
        <f t="shared" si="18"/>
        <v/>
      </c>
      <c r="CJ11" s="109" t="str">
        <f t="shared" si="18"/>
        <v/>
      </c>
      <c r="CK11" s="91" t="str">
        <f t="shared" si="100"/>
        <v>ja</v>
      </c>
      <c r="CL11" s="108" t="str">
        <f t="shared" si="101"/>
        <v/>
      </c>
      <c r="CM11" s="109" t="str">
        <f t="shared" si="102"/>
        <v/>
      </c>
      <c r="CN11" s="77"/>
      <c r="CO11" s="110" t="str">
        <f t="shared" si="19"/>
        <v/>
      </c>
      <c r="CP11" s="78" t="str">
        <f t="shared" si="19"/>
        <v/>
      </c>
      <c r="CQ11" s="78">
        <f t="shared" si="20"/>
        <v>0</v>
      </c>
      <c r="CR11" s="111">
        <f t="shared" si="21"/>
        <v>0</v>
      </c>
      <c r="CT11" s="84" t="str">
        <f t="shared" si="103"/>
        <v>Mathematik</v>
      </c>
      <c r="CU11" s="22" t="str">
        <f t="shared" si="22"/>
        <v/>
      </c>
      <c r="CV11" s="22" t="str">
        <f t="shared" si="22"/>
        <v/>
      </c>
      <c r="CW11" s="10"/>
      <c r="CX11" s="30" t="str">
        <f t="shared" ref="CX11:CX12" si="221">IFERROR(IF(J11="","",J11),"")</f>
        <v/>
      </c>
      <c r="CY11" s="135"/>
      <c r="CZ11" s="274" t="str">
        <f t="shared" ref="CZ11:CZ12" si="222">IF(CR11=0,"",IF(J11="",ROUND((CQ11/CR11),2),IF(CR11=0,"",ROUND((CQ11+(2*J11))/(2+CR11),2))))</f>
        <v/>
      </c>
      <c r="DA11" s="274"/>
      <c r="DB11" s="275" t="str">
        <f t="shared" si="104"/>
        <v/>
      </c>
      <c r="DC11" s="275"/>
      <c r="DD11" s="168" t="str">
        <f>IF(CZ11="","",INDEX(Noten_tab[],MATCH(DB11,Noten_tab[Punkte],0),2))</f>
        <v/>
      </c>
      <c r="DE11" s="5" t="str">
        <f t="shared" si="23"/>
        <v/>
      </c>
      <c r="DH11" s="110" t="str">
        <f t="shared" si="24"/>
        <v/>
      </c>
      <c r="DI11" s="5">
        <f t="shared" si="24"/>
        <v>0</v>
      </c>
      <c r="DJ11" s="5" t="str">
        <f>IF(DH11="","",INDEX(Noten_tab[],MATCH(DH11,Noten_tab[Punkte],0),3))</f>
        <v/>
      </c>
      <c r="DK11" s="5">
        <f>IF(DI11="","",INDEX(Noten_tab[],MATCH(DI11,Noten_tab[Punkte],0),3))</f>
        <v>6</v>
      </c>
      <c r="DL11" s="75" t="str">
        <f t="shared" si="25"/>
        <v>Verbesserung</v>
      </c>
      <c r="DM11" s="5" t="str">
        <f t="shared" si="105"/>
        <v/>
      </c>
      <c r="DN11" s="75" t="str">
        <f t="shared" si="26"/>
        <v/>
      </c>
      <c r="DO11" s="5">
        <f t="shared" si="27"/>
        <v>0</v>
      </c>
      <c r="DP11" s="201" t="str">
        <f>IFERROR(IF(DO11="","",$BE$27-INDEX(Schnitt_von_bis_390_tab[],MATCH($BE$28,Schnitt_von_bis_390_tab[Schnitt],0),3)),"")</f>
        <v/>
      </c>
      <c r="DQ11" s="190" t="str">
        <f t="shared" si="106"/>
        <v/>
      </c>
      <c r="DR11" s="191" t="str">
        <f t="shared" si="107"/>
        <v/>
      </c>
      <c r="DS11" s="192" t="str">
        <f t="shared" si="108"/>
        <v/>
      </c>
      <c r="DT11" s="78">
        <f t="shared" si="109"/>
        <v>0</v>
      </c>
      <c r="DU11" s="193" t="str">
        <f t="shared" si="110"/>
        <v/>
      </c>
      <c r="DV11" s="194">
        <f t="shared" si="111"/>
        <v>0</v>
      </c>
      <c r="DW11" s="5" t="str">
        <f t="shared" si="112"/>
        <v/>
      </c>
      <c r="DX11" s="5" t="str">
        <f t="shared" si="113"/>
        <v/>
      </c>
      <c r="DY11" s="192" t="str">
        <f t="shared" si="114"/>
        <v/>
      </c>
      <c r="DZ11" s="5" t="str">
        <f t="shared" si="115"/>
        <v/>
      </c>
      <c r="EA11" s="192" t="str">
        <f t="shared" si="116"/>
        <v/>
      </c>
      <c r="EB11" s="5" t="str">
        <f t="shared" si="117"/>
        <v/>
      </c>
      <c r="EC11" s="192" t="str">
        <f t="shared" si="118"/>
        <v/>
      </c>
      <c r="ED11" s="5" t="str">
        <f t="shared" si="119"/>
        <v/>
      </c>
      <c r="EE11" s="192" t="str">
        <f t="shared" si="120"/>
        <v/>
      </c>
      <c r="EF11" s="111" t="str">
        <f t="shared" si="121"/>
        <v/>
      </c>
      <c r="EG11" s="5" t="str">
        <f t="shared" si="122"/>
        <v/>
      </c>
      <c r="EH11" s="5" t="str">
        <f t="shared" si="123"/>
        <v/>
      </c>
      <c r="EI11" s="5" t="str">
        <f t="shared" si="124"/>
        <v/>
      </c>
      <c r="EJ11" s="5" t="str">
        <f t="shared" si="125"/>
        <v/>
      </c>
      <c r="EK11" s="5" t="str">
        <f t="shared" si="126"/>
        <v/>
      </c>
      <c r="EL11" s="192" t="str">
        <f t="shared" si="127"/>
        <v/>
      </c>
      <c r="EM11" s="78" t="str">
        <f t="shared" si="128"/>
        <v/>
      </c>
      <c r="EN11" s="78" t="str">
        <f t="shared" si="129"/>
        <v/>
      </c>
      <c r="EO11" s="78" t="str">
        <f t="shared" si="130"/>
        <v/>
      </c>
      <c r="EP11" s="193" t="str">
        <f t="shared" si="131"/>
        <v/>
      </c>
      <c r="EQ11" s="5" t="str">
        <f t="shared" si="132"/>
        <v/>
      </c>
      <c r="ER11" s="5" t="str">
        <f t="shared" si="133"/>
        <v/>
      </c>
      <c r="ES11" s="5" t="str">
        <f t="shared" si="134"/>
        <v/>
      </c>
      <c r="ET11" s="5" t="str">
        <f t="shared" si="135"/>
        <v/>
      </c>
      <c r="EU11" s="5" t="str">
        <f t="shared" si="136"/>
        <v/>
      </c>
      <c r="EV11" s="192" t="str">
        <f t="shared" si="137"/>
        <v/>
      </c>
      <c r="EW11" s="78" t="str">
        <f t="shared" si="138"/>
        <v/>
      </c>
      <c r="EX11" s="78" t="str">
        <f t="shared" si="139"/>
        <v/>
      </c>
      <c r="EY11" s="78" t="str">
        <f t="shared" si="140"/>
        <v/>
      </c>
      <c r="EZ11" s="193" t="str">
        <f t="shared" si="141"/>
        <v/>
      </c>
      <c r="FA11" s="5" t="str">
        <f t="shared" si="142"/>
        <v/>
      </c>
      <c r="FB11" s="5" t="str">
        <f t="shared" si="143"/>
        <v/>
      </c>
      <c r="FC11" s="5" t="str">
        <f t="shared" si="144"/>
        <v/>
      </c>
      <c r="FD11" s="5" t="str">
        <f t="shared" si="145"/>
        <v/>
      </c>
      <c r="FE11" s="5" t="str">
        <f t="shared" si="146"/>
        <v/>
      </c>
      <c r="FF11" s="108" t="str">
        <f t="shared" si="147"/>
        <v/>
      </c>
      <c r="FG11" s="75" t="str">
        <f t="shared" si="148"/>
        <v/>
      </c>
      <c r="FH11" s="75" t="str">
        <f t="shared" si="149"/>
        <v/>
      </c>
      <c r="FI11" s="75" t="str">
        <f t="shared" si="150"/>
        <v/>
      </c>
      <c r="FJ11" s="77" t="str">
        <f t="shared" si="151"/>
        <v/>
      </c>
      <c r="FK11" s="108" t="str">
        <f t="shared" si="152"/>
        <v/>
      </c>
      <c r="FL11" s="77" t="str">
        <f t="shared" si="153"/>
        <v/>
      </c>
      <c r="FM11" s="77" t="str">
        <f t="shared" si="154"/>
        <v/>
      </c>
      <c r="FN11" s="77" t="str">
        <f t="shared" si="155"/>
        <v/>
      </c>
      <c r="FO11" s="77" t="str">
        <f t="shared" si="156"/>
        <v/>
      </c>
      <c r="FP11" s="186" t="str">
        <f t="shared" si="28"/>
        <v/>
      </c>
      <c r="FQ11" s="202">
        <f t="shared" si="29"/>
        <v>300</v>
      </c>
      <c r="FR11" s="202" t="str">
        <f t="shared" si="30"/>
        <v/>
      </c>
      <c r="FS11" s="202" t="str">
        <f t="shared" si="31"/>
        <v/>
      </c>
      <c r="FT11" s="203" t="str">
        <f t="shared" si="32"/>
        <v/>
      </c>
      <c r="FU11" s="196" t="str">
        <f t="shared" si="33"/>
        <v/>
      </c>
      <c r="FV11" s="197" t="str">
        <f t="shared" si="34"/>
        <v/>
      </c>
      <c r="FW11" s="110" t="str">
        <f t="shared" si="157"/>
        <v/>
      </c>
      <c r="FX11" s="5" t="str">
        <f t="shared" si="35"/>
        <v/>
      </c>
      <c r="FY11" s="111" t="str">
        <f t="shared" si="36"/>
        <v/>
      </c>
      <c r="FZ11" s="92" t="str">
        <f t="shared" si="37"/>
        <v/>
      </c>
      <c r="GA11" s="108" t="str">
        <f t="shared" si="38"/>
        <v/>
      </c>
      <c r="GB11" s="109" t="str">
        <f t="shared" si="38"/>
        <v/>
      </c>
      <c r="GC11" s="91" t="str">
        <f t="shared" si="158"/>
        <v>ja</v>
      </c>
      <c r="GD11" s="108" t="str">
        <f t="shared" si="159"/>
        <v/>
      </c>
      <c r="GE11" s="109" t="str">
        <f t="shared" si="160"/>
        <v/>
      </c>
      <c r="GG11" s="110" t="str">
        <f t="shared" si="161"/>
        <v/>
      </c>
      <c r="GH11" s="78" t="str">
        <f t="shared" si="218"/>
        <v/>
      </c>
      <c r="GI11" s="78">
        <f t="shared" si="39"/>
        <v>0</v>
      </c>
      <c r="GJ11" s="111">
        <f t="shared" si="40"/>
        <v>0</v>
      </c>
      <c r="GK11" s="77"/>
      <c r="GL11" s="11" t="str">
        <f t="shared" si="41"/>
        <v>Mathematik</v>
      </c>
      <c r="GM11" s="22" t="str">
        <f t="shared" si="42"/>
        <v/>
      </c>
      <c r="GN11" s="22" t="str">
        <f t="shared" si="42"/>
        <v/>
      </c>
      <c r="GO11" s="10"/>
      <c r="GP11" s="30" t="str">
        <f>IFERROR(IF(J11="","",J11),"")</f>
        <v/>
      </c>
      <c r="GQ11" s="136"/>
      <c r="GR11" s="274" t="str">
        <f>IF(GJ11=0,"",IF(J11="",ROUND((GI11/GJ11),2),IF(GJ11=0,"",ROUND((GI11+(2*O11))/(2+GJ11),2))))</f>
        <v/>
      </c>
      <c r="GS11" s="274"/>
      <c r="GT11" s="275" t="str">
        <f t="shared" si="214"/>
        <v/>
      </c>
      <c r="GU11" s="275"/>
      <c r="GV11" s="168" t="str">
        <f>IF(GR11="","",INDEX(Noten_tab[],MATCH(GT11,Noten_tab[Punkte],0),2))</f>
        <v/>
      </c>
      <c r="GW11" s="5" t="str">
        <f t="shared" si="43"/>
        <v/>
      </c>
      <c r="GX11" s="75"/>
      <c r="GY11" s="110" t="str">
        <f t="shared" si="44"/>
        <v/>
      </c>
      <c r="GZ11" s="5">
        <f t="shared" si="44"/>
        <v>0</v>
      </c>
      <c r="HA11" s="5" t="str">
        <f>IF(GY11="","",INDEX(Noten_tab[],MATCH(GY11,Noten_tab[Punkte],0),3))</f>
        <v/>
      </c>
      <c r="HB11" s="5">
        <f>IF(GZ11="","",INDEX(Noten_tab[],MATCH(GZ11,Noten_tab[Punkte],0),3))</f>
        <v>6</v>
      </c>
      <c r="HC11" s="75" t="str">
        <f t="shared" si="45"/>
        <v>Verbesserung</v>
      </c>
      <c r="HD11" s="5" t="str">
        <f t="shared" si="46"/>
        <v/>
      </c>
      <c r="HE11" s="75" t="str">
        <f t="shared" si="47"/>
        <v/>
      </c>
      <c r="HF11" s="5">
        <f t="shared" si="48"/>
        <v>0</v>
      </c>
      <c r="HG11" s="5">
        <f t="shared" si="162"/>
        <v>390</v>
      </c>
      <c r="HH11" s="201" t="str">
        <f>IFERROR(IF(HF11="","",$CW$28-IF($CU$56=390,INDEX(Schnitt_von_bis_390_tab[],MATCH($CW$29,Schnitt_von_bis_390_tab[Schnitt],0),3),INDEX(Schnitt_von_bis_420_tab[],MATCH($CW$29,Schnitt_von_bis_420_tab[Schnitt],0),3))),"")</f>
        <v/>
      </c>
      <c r="HI11" s="198" t="str">
        <f t="shared" si="49"/>
        <v/>
      </c>
      <c r="HJ11" s="199" t="str">
        <f t="shared" si="50"/>
        <v/>
      </c>
      <c r="HK11" s="78" t="str">
        <f t="shared" si="163"/>
        <v/>
      </c>
      <c r="HL11" s="78" t="str">
        <f t="shared" si="164"/>
        <v/>
      </c>
      <c r="HM11" s="193" t="str">
        <f t="shared" si="51"/>
        <v/>
      </c>
      <c r="HN11" s="194">
        <f t="shared" si="165"/>
        <v>0</v>
      </c>
      <c r="HO11" s="5" t="str">
        <f t="shared" si="166"/>
        <v/>
      </c>
      <c r="HP11" s="5" t="str">
        <f t="shared" si="167"/>
        <v/>
      </c>
      <c r="HQ11" s="192" t="str">
        <f t="shared" si="168"/>
        <v/>
      </c>
      <c r="HR11" s="5" t="str">
        <f t="shared" si="169"/>
        <v/>
      </c>
      <c r="HS11" s="192" t="str">
        <f t="shared" si="170"/>
        <v/>
      </c>
      <c r="HT11" s="5" t="str">
        <f t="shared" si="171"/>
        <v/>
      </c>
      <c r="HU11" s="192" t="str">
        <f t="shared" si="172"/>
        <v/>
      </c>
      <c r="HV11" s="5" t="str">
        <f t="shared" si="173"/>
        <v/>
      </c>
      <c r="HW11" s="192" t="str">
        <f t="shared" si="174"/>
        <v/>
      </c>
      <c r="HX11" s="111" t="str">
        <f t="shared" si="175"/>
        <v/>
      </c>
      <c r="HY11" s="5" t="str">
        <f t="shared" si="176"/>
        <v/>
      </c>
      <c r="HZ11" s="5" t="str">
        <f t="shared" si="177"/>
        <v/>
      </c>
      <c r="IA11" s="5" t="str">
        <f t="shared" si="178"/>
        <v/>
      </c>
      <c r="IB11" s="5" t="str">
        <f t="shared" si="179"/>
        <v/>
      </c>
      <c r="IC11" s="5" t="str">
        <f t="shared" si="180"/>
        <v/>
      </c>
      <c r="ID11" s="192" t="str">
        <f t="shared" si="181"/>
        <v/>
      </c>
      <c r="IE11" s="78" t="str">
        <f t="shared" si="182"/>
        <v/>
      </c>
      <c r="IF11" s="78" t="str">
        <f t="shared" si="183"/>
        <v/>
      </c>
      <c r="IG11" s="78" t="str">
        <f t="shared" si="184"/>
        <v/>
      </c>
      <c r="IH11" s="193" t="str">
        <f t="shared" si="185"/>
        <v/>
      </c>
      <c r="II11" s="5" t="str">
        <f t="shared" si="186"/>
        <v/>
      </c>
      <c r="IJ11" s="5" t="str">
        <f t="shared" si="187"/>
        <v/>
      </c>
      <c r="IK11" s="5" t="str">
        <f t="shared" si="188"/>
        <v/>
      </c>
      <c r="IL11" s="5" t="str">
        <f t="shared" si="189"/>
        <v/>
      </c>
      <c r="IM11" s="5" t="str">
        <f t="shared" si="190"/>
        <v/>
      </c>
      <c r="IN11" s="192" t="str">
        <f t="shared" si="191"/>
        <v/>
      </c>
      <c r="IO11" s="78" t="str">
        <f t="shared" si="192"/>
        <v/>
      </c>
      <c r="IP11" s="78" t="str">
        <f t="shared" si="193"/>
        <v/>
      </c>
      <c r="IQ11" s="78" t="str">
        <f t="shared" si="194"/>
        <v/>
      </c>
      <c r="IR11" s="193" t="str">
        <f t="shared" si="195"/>
        <v/>
      </c>
      <c r="IS11" s="5" t="str">
        <f t="shared" si="196"/>
        <v/>
      </c>
      <c r="IT11" s="5" t="str">
        <f t="shared" si="197"/>
        <v/>
      </c>
      <c r="IU11" s="5" t="str">
        <f t="shared" si="198"/>
        <v/>
      </c>
      <c r="IV11" s="5" t="str">
        <f t="shared" si="199"/>
        <v/>
      </c>
      <c r="IW11" s="5" t="str">
        <f t="shared" si="200"/>
        <v/>
      </c>
      <c r="IX11" s="110" t="str">
        <f t="shared" si="201"/>
        <v/>
      </c>
      <c r="IY11" s="5" t="str">
        <f t="shared" si="202"/>
        <v/>
      </c>
      <c r="IZ11" s="5" t="str">
        <f t="shared" si="203"/>
        <v/>
      </c>
      <c r="JA11" s="5" t="str">
        <f t="shared" si="204"/>
        <v/>
      </c>
      <c r="JB11" s="5" t="str">
        <f t="shared" si="205"/>
        <v/>
      </c>
      <c r="JC11" s="200" t="str">
        <f t="shared" si="206"/>
        <v/>
      </c>
      <c r="JD11" s="75" t="str">
        <f t="shared" si="207"/>
        <v/>
      </c>
      <c r="JE11" s="75" t="str">
        <f t="shared" si="208"/>
        <v/>
      </c>
      <c r="JF11" s="75" t="str">
        <f t="shared" si="209"/>
        <v/>
      </c>
      <c r="JG11" s="109" t="str">
        <f t="shared" si="210"/>
        <v/>
      </c>
      <c r="JH11" s="186" t="str">
        <f t="shared" si="52"/>
        <v/>
      </c>
      <c r="JI11" s="202">
        <f t="shared" si="53"/>
        <v>300</v>
      </c>
      <c r="JJ11" s="202" t="str">
        <f t="shared" si="54"/>
        <v/>
      </c>
      <c r="JK11" s="202" t="str">
        <f t="shared" si="55"/>
        <v/>
      </c>
      <c r="JL11" s="203" t="str">
        <f t="shared" si="56"/>
        <v/>
      </c>
      <c r="JM11" s="196" t="str">
        <f t="shared" si="57"/>
        <v/>
      </c>
      <c r="JN11" s="197" t="str">
        <f t="shared" si="58"/>
        <v/>
      </c>
      <c r="JO11" s="110" t="str">
        <f t="shared" si="211"/>
        <v/>
      </c>
      <c r="JP11" s="5" t="str">
        <f t="shared" si="59"/>
        <v/>
      </c>
      <c r="JQ11" s="111" t="str">
        <f t="shared" si="60"/>
        <v/>
      </c>
      <c r="JR11" s="92" t="str">
        <f t="shared" si="61"/>
        <v/>
      </c>
      <c r="JS11" s="108" t="str">
        <f t="shared" si="62"/>
        <v/>
      </c>
      <c r="JT11" s="109" t="str">
        <f t="shared" si="62"/>
        <v/>
      </c>
      <c r="JU11" s="91" t="str">
        <f t="shared" si="63"/>
        <v>ja</v>
      </c>
      <c r="JV11" s="108" t="str">
        <f t="shared" si="64"/>
        <v/>
      </c>
      <c r="JW11" s="109" t="str">
        <f t="shared" si="65"/>
        <v/>
      </c>
      <c r="JY11" s="110" t="str">
        <f t="shared" si="66"/>
        <v/>
      </c>
      <c r="JZ11" s="78" t="str">
        <f t="shared" si="66"/>
        <v/>
      </c>
      <c r="KA11" s="78">
        <f t="shared" si="67"/>
        <v>0</v>
      </c>
      <c r="KB11" s="111">
        <f t="shared" si="68"/>
        <v>0</v>
      </c>
      <c r="KD11" s="84" t="str">
        <f t="shared" si="69"/>
        <v>Mathematik</v>
      </c>
      <c r="KE11" s="22" t="str">
        <f t="shared" si="70"/>
        <v/>
      </c>
      <c r="KF11" s="22" t="str">
        <f t="shared" si="70"/>
        <v/>
      </c>
      <c r="KG11" s="10"/>
      <c r="KH11" s="30" t="str">
        <f t="shared" ref="KH11:KH12" si="223">IFERROR(IF(J11="","",J11),"")</f>
        <v/>
      </c>
      <c r="KI11" s="135"/>
      <c r="KJ11" s="274" t="str">
        <f>IF(KB11=0,"",IF(J11="",ROUND((KA11/KB11),2),IF(KB11=0,"",ROUND((KA11+(2*O11))/(2+KB11),2))))</f>
        <v/>
      </c>
      <c r="KK11" s="274"/>
      <c r="KL11" s="275" t="str">
        <f t="shared" si="212"/>
        <v/>
      </c>
      <c r="KM11" s="275"/>
      <c r="KN11" s="168" t="str">
        <f>IF(KJ11="","",INDEX(Noten_tab[],MATCH(KL11,Noten_tab[Punkte],0),2))</f>
        <v/>
      </c>
      <c r="KO11" s="5" t="str">
        <f t="shared" si="71"/>
        <v/>
      </c>
    </row>
    <row r="12" spans="2:301" ht="18.75" customHeight="1" x14ac:dyDescent="0.25">
      <c r="B12" s="13" t="str">
        <f>VLOOKUP($B$2,Profilfaecher_tab[],2,FALSE)</f>
        <v>Profilfach 1</v>
      </c>
      <c r="C12" s="29" t="s">
        <v>49</v>
      </c>
      <c r="D12" s="26"/>
      <c r="E12" s="26"/>
      <c r="G12" s="3"/>
      <c r="H12" s="3"/>
      <c r="I12" s="30" t="str">
        <f>IF(AND(G12="",H12=""),"",IF(H12="",G12,IF(G12="",H12,((G12*2)+H12)/3)))</f>
        <v/>
      </c>
      <c r="J12" s="30" t="str">
        <f>IF(AND(G12="",H12=""),"",IF(I12&lt;1,0,ROUND(I12,0)))</f>
        <v/>
      </c>
      <c r="K12" s="14">
        <f>IF(J12="",5,IF(J12=0,10,IF(J12&lt;4,1,0)))</f>
        <v>5</v>
      </c>
      <c r="L12" s="14"/>
      <c r="M12" s="189" t="str">
        <f t="shared" si="72"/>
        <v/>
      </c>
      <c r="N12" s="189" t="str">
        <f t="shared" si="0"/>
        <v/>
      </c>
      <c r="O12" s="189" t="str">
        <f t="shared" si="219"/>
        <v/>
      </c>
      <c r="P12" s="12"/>
      <c r="Q12" s="88"/>
      <c r="R12" s="92">
        <f t="shared" si="73"/>
        <v>0</v>
      </c>
      <c r="S12" s="98" t="str">
        <f>IF(O12&lt;&gt;"","",IF(COUNT(M12:N12)=0,"",AVERAGE(M12:N12)))</f>
        <v/>
      </c>
      <c r="T12" s="99">
        <f>IF(O12&lt;&gt;"","",IF(COUNT(M12:N12)&lt;2,MIN(M12:N12),(SUM(M12:N12)-MIN(M12:N12))/(COUNT(M12:N12)-1)))</f>
        <v>0</v>
      </c>
      <c r="U12" s="99" t="str">
        <f>IF(O12="","",IF(COUNT(M12:N12)=0,O12,SUM(IF(M12="",0,M12),IF(N12="",0,N12),2*O12)/(COUNT(M12:N12)+2)))</f>
        <v/>
      </c>
      <c r="V12" s="99" t="str">
        <f>IF(O12="","",IF(COUNT(M12:N12)=0,"",IF(COUNT(M12:N12)&lt;2,(MIN(M12:N12)+2*O12)/3,(SUM(IF(M12="",0,M12),IF(N12="",0,N12),2*O12)-MIN(M12:N12))/((COUNT(M12:N12)-1)+2))))</f>
        <v/>
      </c>
      <c r="W12" s="99" t="str">
        <f t="shared" si="74"/>
        <v/>
      </c>
      <c r="X12" s="99">
        <f t="shared" si="75"/>
        <v>0</v>
      </c>
      <c r="Y12" s="99" t="str">
        <f t="shared" si="76"/>
        <v/>
      </c>
      <c r="Z12" s="101">
        <f t="shared" si="77"/>
        <v>1</v>
      </c>
      <c r="AA12" s="78">
        <f t="shared" si="78"/>
        <v>0.12</v>
      </c>
      <c r="AB12" s="78" t="str">
        <f t="shared" si="79"/>
        <v/>
      </c>
      <c r="AC12" s="78" t="str">
        <f t="shared" si="80"/>
        <v/>
      </c>
      <c r="AD12" s="78" t="str">
        <f t="shared" si="81"/>
        <v/>
      </c>
      <c r="AE12" s="78" t="str">
        <f t="shared" si="82"/>
        <v/>
      </c>
      <c r="AF12" s="78" t="str">
        <f>IF(AE12="","",INDEX(Noten_tab[],MATCH(AE12,Noten_tab[Punkte],0),2))</f>
        <v/>
      </c>
      <c r="AG12" s="110" t="str">
        <f t="shared" si="1"/>
        <v/>
      </c>
      <c r="AH12" s="154">
        <f>IF($C12="aut.",((Z12*300)),"")</f>
        <v>300</v>
      </c>
      <c r="AI12" s="31" t="str">
        <f t="shared" si="2"/>
        <v/>
      </c>
      <c r="AJ12" s="111" t="str">
        <f t="shared" si="3"/>
        <v/>
      </c>
      <c r="AK12" s="108" t="str">
        <f t="shared" si="83"/>
        <v/>
      </c>
      <c r="AL12" s="118" t="str">
        <f t="shared" si="84"/>
        <v/>
      </c>
      <c r="AM12" s="110" t="str">
        <f t="shared" si="85"/>
        <v/>
      </c>
      <c r="AN12" s="78" t="str">
        <f t="shared" si="86"/>
        <v/>
      </c>
      <c r="AO12" s="111" t="str">
        <f t="shared" si="87"/>
        <v/>
      </c>
      <c r="AP12" s="92" t="str">
        <f t="shared" si="4"/>
        <v/>
      </c>
      <c r="AQ12" s="108" t="str">
        <f t="shared" si="88"/>
        <v/>
      </c>
      <c r="AR12" s="109" t="str">
        <f t="shared" si="89"/>
        <v/>
      </c>
      <c r="AS12" s="91" t="str">
        <f t="shared" si="90"/>
        <v>ja</v>
      </c>
      <c r="AT12" s="108" t="str">
        <f t="shared" si="91"/>
        <v/>
      </c>
      <c r="AU12" s="109" t="str">
        <f t="shared" si="92"/>
        <v/>
      </c>
      <c r="AV12" s="77"/>
      <c r="AW12" s="110" t="str">
        <f t="shared" si="93"/>
        <v/>
      </c>
      <c r="AX12" s="78" t="str">
        <f t="shared" si="217"/>
        <v/>
      </c>
      <c r="AY12" s="78">
        <f t="shared" si="5"/>
        <v>0</v>
      </c>
      <c r="AZ12" s="111">
        <f t="shared" si="6"/>
        <v>0</v>
      </c>
      <c r="BA12" s="77"/>
      <c r="BB12" s="11" t="str">
        <f t="shared" si="7"/>
        <v>Profilfach 1</v>
      </c>
      <c r="BC12" s="22" t="str">
        <f t="shared" si="8"/>
        <v/>
      </c>
      <c r="BD12" s="22" t="str">
        <f t="shared" si="8"/>
        <v/>
      </c>
      <c r="BE12" s="10"/>
      <c r="BF12" s="30" t="str">
        <f>IFERROR(IF(J12="","",J12),"")</f>
        <v/>
      </c>
      <c r="BG12" s="136"/>
      <c r="BH12" s="274" t="str">
        <f t="shared" si="220"/>
        <v/>
      </c>
      <c r="BI12" s="274"/>
      <c r="BJ12" s="275" t="str">
        <f t="shared" si="213"/>
        <v/>
      </c>
      <c r="BK12" s="275"/>
      <c r="BL12" s="168" t="str">
        <f>IF(BH12="","",INDEX(Noten_tab[],MATCH(BJ12,Noten_tab[Punkte],0),2))</f>
        <v/>
      </c>
      <c r="BM12" s="5" t="str">
        <f t="shared" si="9"/>
        <v/>
      </c>
      <c r="BN12" s="78"/>
      <c r="BO12" s="10"/>
      <c r="BP12" s="143">
        <f t="shared" si="10"/>
        <v>0</v>
      </c>
      <c r="BQ12" s="99" t="str">
        <f>IF(O12&lt;&gt;"","",IF(COUNT(M12:N12)=0,"",AVERAGE(M12:N12)))</f>
        <v/>
      </c>
      <c r="BR12" s="99">
        <f>IF(O12&lt;&gt;"","",IF(COUNT(M12:N12)&lt;2,MIN(M12:N12),(SUM(M12:N12)-MIN(M12:N12))/(COUNT(M12:N12)-1)))</f>
        <v>0</v>
      </c>
      <c r="BS12" s="99" t="str">
        <f>IF(O12="","",IF(COUNT(M12:N12)=0,O12,SUM(IF(M12="",0,M12),IF(N12="",0,N12),2*O12)/(COUNT(M12:N12)+2)))</f>
        <v/>
      </c>
      <c r="BT12" s="99" t="str">
        <f>IF(O12="","",IF(COUNT(M12:N12)=0,"",IF(COUNT(M12:N12)&lt;2,(MIN(M12:N12)+2*O12)/3,(SUM(IF(M12="",0,M12),IF(N12="",0,N12),2*O12)-MIN(M12:N12))/((COUNT(M12:N12)-1)+2))))</f>
        <v/>
      </c>
      <c r="BU12" s="99" t="str">
        <f t="shared" si="94"/>
        <v/>
      </c>
      <c r="BV12" s="99">
        <f t="shared" si="95"/>
        <v>0</v>
      </c>
      <c r="BW12" s="99" t="str">
        <f t="shared" si="96"/>
        <v/>
      </c>
      <c r="BX12" s="101">
        <f t="shared" si="97"/>
        <v>1</v>
      </c>
      <c r="BY12" s="110" t="str">
        <f t="shared" si="11"/>
        <v/>
      </c>
      <c r="BZ12" s="154">
        <f>IF($C12="aut.",((BX12*300)),"")</f>
        <v>300</v>
      </c>
      <c r="CA12" s="31" t="str">
        <f t="shared" si="12"/>
        <v/>
      </c>
      <c r="CB12" s="111" t="str">
        <f t="shared" si="13"/>
        <v/>
      </c>
      <c r="CC12" s="108" t="str">
        <f t="shared" si="14"/>
        <v/>
      </c>
      <c r="CD12" s="118" t="str">
        <f t="shared" si="98"/>
        <v/>
      </c>
      <c r="CE12" s="110" t="str">
        <f t="shared" si="99"/>
        <v/>
      </c>
      <c r="CF12" s="78" t="str">
        <f t="shared" si="15"/>
        <v/>
      </c>
      <c r="CG12" s="111" t="str">
        <f t="shared" si="16"/>
        <v/>
      </c>
      <c r="CH12" s="92" t="str">
        <f t="shared" si="17"/>
        <v/>
      </c>
      <c r="CI12" s="108" t="str">
        <f t="shared" si="18"/>
        <v/>
      </c>
      <c r="CJ12" s="109" t="str">
        <f t="shared" si="18"/>
        <v/>
      </c>
      <c r="CK12" s="91" t="str">
        <f t="shared" si="100"/>
        <v>ja</v>
      </c>
      <c r="CL12" s="108" t="str">
        <f t="shared" si="101"/>
        <v/>
      </c>
      <c r="CM12" s="109" t="str">
        <f t="shared" si="102"/>
        <v/>
      </c>
      <c r="CN12" s="77"/>
      <c r="CO12" s="110" t="str">
        <f t="shared" si="19"/>
        <v/>
      </c>
      <c r="CP12" s="78" t="str">
        <f t="shared" si="19"/>
        <v/>
      </c>
      <c r="CQ12" s="78">
        <f t="shared" si="20"/>
        <v>0</v>
      </c>
      <c r="CR12" s="111">
        <f t="shared" si="21"/>
        <v>0</v>
      </c>
      <c r="CT12" s="84" t="str">
        <f t="shared" si="103"/>
        <v>Profilfach 1</v>
      </c>
      <c r="CU12" s="22" t="str">
        <f t="shared" si="22"/>
        <v/>
      </c>
      <c r="CV12" s="22" t="str">
        <f t="shared" si="22"/>
        <v/>
      </c>
      <c r="CW12" s="10"/>
      <c r="CX12" s="30" t="str">
        <f t="shared" si="221"/>
        <v/>
      </c>
      <c r="CY12" s="135"/>
      <c r="CZ12" s="274" t="str">
        <f t="shared" si="222"/>
        <v/>
      </c>
      <c r="DA12" s="274"/>
      <c r="DB12" s="275" t="str">
        <f t="shared" si="104"/>
        <v/>
      </c>
      <c r="DC12" s="275"/>
      <c r="DD12" s="168" t="str">
        <f>IF(CZ12="","",INDEX(Noten_tab[],MATCH(DB12,Noten_tab[Punkte],0),2))</f>
        <v/>
      </c>
      <c r="DE12" s="5" t="str">
        <f t="shared" si="23"/>
        <v/>
      </c>
      <c r="DH12" s="110" t="str">
        <f t="shared" si="24"/>
        <v/>
      </c>
      <c r="DI12" s="5">
        <f t="shared" si="24"/>
        <v>0</v>
      </c>
      <c r="DJ12" s="5" t="str">
        <f>IF(DH12="","",INDEX(Noten_tab[],MATCH(DH12,Noten_tab[Punkte],0),3))</f>
        <v/>
      </c>
      <c r="DK12" s="5">
        <f>IF(DI12="","",INDEX(Noten_tab[],MATCH(DI12,Noten_tab[Punkte],0),3))</f>
        <v>6</v>
      </c>
      <c r="DL12" s="75" t="str">
        <f t="shared" si="25"/>
        <v>Verbesserung</v>
      </c>
      <c r="DM12" s="5" t="str">
        <f t="shared" si="105"/>
        <v/>
      </c>
      <c r="DN12" s="75" t="str">
        <f t="shared" si="26"/>
        <v/>
      </c>
      <c r="DO12" s="5">
        <f t="shared" si="27"/>
        <v>0</v>
      </c>
      <c r="DP12" s="201" t="str">
        <f>IFERROR(IF(DO12="","",$BE$27-INDEX(Schnitt_von_bis_390_tab[],MATCH($BE$28,Schnitt_von_bis_390_tab[Schnitt],0),3)),"")</f>
        <v/>
      </c>
      <c r="DQ12" s="190" t="str">
        <f t="shared" si="106"/>
        <v/>
      </c>
      <c r="DR12" s="191" t="str">
        <f t="shared" si="107"/>
        <v/>
      </c>
      <c r="DS12" s="192" t="str">
        <f t="shared" si="108"/>
        <v/>
      </c>
      <c r="DT12" s="78">
        <f t="shared" si="109"/>
        <v>0</v>
      </c>
      <c r="DU12" s="193" t="str">
        <f t="shared" si="110"/>
        <v/>
      </c>
      <c r="DV12" s="194">
        <f t="shared" si="111"/>
        <v>0</v>
      </c>
      <c r="DW12" s="5" t="str">
        <f t="shared" si="112"/>
        <v/>
      </c>
      <c r="DX12" s="5" t="str">
        <f t="shared" si="113"/>
        <v/>
      </c>
      <c r="DY12" s="192" t="str">
        <f t="shared" si="114"/>
        <v/>
      </c>
      <c r="DZ12" s="5" t="str">
        <f t="shared" si="115"/>
        <v/>
      </c>
      <c r="EA12" s="192" t="str">
        <f t="shared" si="116"/>
        <v/>
      </c>
      <c r="EB12" s="5" t="str">
        <f t="shared" si="117"/>
        <v/>
      </c>
      <c r="EC12" s="192" t="str">
        <f t="shared" si="118"/>
        <v/>
      </c>
      <c r="ED12" s="5" t="str">
        <f t="shared" si="119"/>
        <v/>
      </c>
      <c r="EE12" s="192" t="str">
        <f t="shared" si="120"/>
        <v/>
      </c>
      <c r="EF12" s="111" t="str">
        <f t="shared" si="121"/>
        <v/>
      </c>
      <c r="EG12" s="5" t="str">
        <f t="shared" si="122"/>
        <v/>
      </c>
      <c r="EH12" s="5" t="str">
        <f t="shared" si="123"/>
        <v/>
      </c>
      <c r="EI12" s="5" t="str">
        <f t="shared" si="124"/>
        <v/>
      </c>
      <c r="EJ12" s="5" t="str">
        <f t="shared" si="125"/>
        <v/>
      </c>
      <c r="EK12" s="5" t="str">
        <f t="shared" si="126"/>
        <v/>
      </c>
      <c r="EL12" s="192" t="str">
        <f t="shared" si="127"/>
        <v/>
      </c>
      <c r="EM12" s="78" t="str">
        <f t="shared" si="128"/>
        <v/>
      </c>
      <c r="EN12" s="78" t="str">
        <f t="shared" si="129"/>
        <v/>
      </c>
      <c r="EO12" s="78" t="str">
        <f t="shared" si="130"/>
        <v/>
      </c>
      <c r="EP12" s="193" t="str">
        <f t="shared" si="131"/>
        <v/>
      </c>
      <c r="EQ12" s="5" t="str">
        <f t="shared" si="132"/>
        <v/>
      </c>
      <c r="ER12" s="5" t="str">
        <f t="shared" si="133"/>
        <v/>
      </c>
      <c r="ES12" s="5" t="str">
        <f t="shared" si="134"/>
        <v/>
      </c>
      <c r="ET12" s="5" t="str">
        <f t="shared" si="135"/>
        <v/>
      </c>
      <c r="EU12" s="5" t="str">
        <f t="shared" si="136"/>
        <v/>
      </c>
      <c r="EV12" s="192" t="str">
        <f t="shared" si="137"/>
        <v/>
      </c>
      <c r="EW12" s="78" t="str">
        <f t="shared" si="138"/>
        <v/>
      </c>
      <c r="EX12" s="78" t="str">
        <f t="shared" si="139"/>
        <v/>
      </c>
      <c r="EY12" s="78" t="str">
        <f t="shared" si="140"/>
        <v/>
      </c>
      <c r="EZ12" s="193" t="str">
        <f t="shared" si="141"/>
        <v/>
      </c>
      <c r="FA12" s="5" t="str">
        <f t="shared" si="142"/>
        <v/>
      </c>
      <c r="FB12" s="5" t="str">
        <f t="shared" si="143"/>
        <v/>
      </c>
      <c r="FC12" s="5" t="str">
        <f t="shared" si="144"/>
        <v/>
      </c>
      <c r="FD12" s="5" t="str">
        <f t="shared" si="145"/>
        <v/>
      </c>
      <c r="FE12" s="5" t="str">
        <f t="shared" si="146"/>
        <v/>
      </c>
      <c r="FF12" s="108" t="str">
        <f t="shared" si="147"/>
        <v/>
      </c>
      <c r="FG12" s="75" t="str">
        <f t="shared" si="148"/>
        <v/>
      </c>
      <c r="FH12" s="75" t="str">
        <f t="shared" si="149"/>
        <v/>
      </c>
      <c r="FI12" s="75" t="str">
        <f t="shared" si="150"/>
        <v/>
      </c>
      <c r="FJ12" s="77" t="str">
        <f t="shared" si="151"/>
        <v/>
      </c>
      <c r="FK12" s="108" t="str">
        <f t="shared" si="152"/>
        <v/>
      </c>
      <c r="FL12" s="77" t="str">
        <f t="shared" si="153"/>
        <v/>
      </c>
      <c r="FM12" s="77" t="str">
        <f t="shared" si="154"/>
        <v/>
      </c>
      <c r="FN12" s="77" t="str">
        <f t="shared" si="155"/>
        <v/>
      </c>
      <c r="FO12" s="77" t="str">
        <f t="shared" si="156"/>
        <v/>
      </c>
      <c r="FP12" s="186" t="str">
        <f t="shared" si="28"/>
        <v/>
      </c>
      <c r="FQ12" s="202">
        <f t="shared" si="29"/>
        <v>300</v>
      </c>
      <c r="FR12" s="202" t="str">
        <f t="shared" si="30"/>
        <v/>
      </c>
      <c r="FS12" s="202" t="str">
        <f t="shared" si="31"/>
        <v/>
      </c>
      <c r="FT12" s="203" t="str">
        <f t="shared" si="32"/>
        <v/>
      </c>
      <c r="FU12" s="196" t="str">
        <f t="shared" si="33"/>
        <v/>
      </c>
      <c r="FV12" s="197" t="str">
        <f t="shared" si="34"/>
        <v/>
      </c>
      <c r="FW12" s="110" t="str">
        <f t="shared" si="157"/>
        <v/>
      </c>
      <c r="FX12" s="5" t="str">
        <f t="shared" si="35"/>
        <v/>
      </c>
      <c r="FY12" s="111" t="str">
        <f t="shared" si="36"/>
        <v/>
      </c>
      <c r="FZ12" s="92" t="str">
        <f t="shared" si="37"/>
        <v/>
      </c>
      <c r="GA12" s="108" t="str">
        <f t="shared" si="38"/>
        <v/>
      </c>
      <c r="GB12" s="109" t="str">
        <f t="shared" si="38"/>
        <v/>
      </c>
      <c r="GC12" s="91" t="str">
        <f t="shared" si="158"/>
        <v>ja</v>
      </c>
      <c r="GD12" s="108" t="str">
        <f t="shared" si="159"/>
        <v/>
      </c>
      <c r="GE12" s="109" t="str">
        <f t="shared" si="160"/>
        <v/>
      </c>
      <c r="GG12" s="110" t="str">
        <f t="shared" si="161"/>
        <v/>
      </c>
      <c r="GH12" s="78" t="str">
        <f t="shared" si="218"/>
        <v/>
      </c>
      <c r="GI12" s="78">
        <f t="shared" si="39"/>
        <v>0</v>
      </c>
      <c r="GJ12" s="111">
        <f t="shared" si="40"/>
        <v>0</v>
      </c>
      <c r="GK12" s="77"/>
      <c r="GL12" s="11" t="str">
        <f t="shared" si="41"/>
        <v>Profilfach 1</v>
      </c>
      <c r="GM12" s="22" t="str">
        <f t="shared" si="42"/>
        <v/>
      </c>
      <c r="GN12" s="22" t="str">
        <f t="shared" si="42"/>
        <v/>
      </c>
      <c r="GO12" s="10"/>
      <c r="GP12" s="30" t="str">
        <f>IFERROR(IF(J12="","",J12),"")</f>
        <v/>
      </c>
      <c r="GQ12" s="136"/>
      <c r="GR12" s="274" t="str">
        <f>IF(GJ12=0,"",IF(J12="",ROUND((GI12/GJ12),2),IF(GJ12=0,"",ROUND((GI12+(2*O12))/(2+GJ12),2))))</f>
        <v/>
      </c>
      <c r="GS12" s="274"/>
      <c r="GT12" s="275" t="str">
        <f t="shared" si="214"/>
        <v/>
      </c>
      <c r="GU12" s="275"/>
      <c r="GV12" s="168" t="str">
        <f>IF(GR12="","",INDEX(Noten_tab[],MATCH(GT12,Noten_tab[Punkte],0),2))</f>
        <v/>
      </c>
      <c r="GW12" s="5" t="str">
        <f t="shared" si="43"/>
        <v/>
      </c>
      <c r="GX12" s="75"/>
      <c r="GY12" s="110" t="str">
        <f t="shared" si="44"/>
        <v/>
      </c>
      <c r="GZ12" s="5">
        <f t="shared" si="44"/>
        <v>0</v>
      </c>
      <c r="HA12" s="5" t="str">
        <f>IF(GY12="","",INDEX(Noten_tab[],MATCH(GY12,Noten_tab[Punkte],0),3))</f>
        <v/>
      </c>
      <c r="HB12" s="5">
        <f>IF(GZ12="","",INDEX(Noten_tab[],MATCH(GZ12,Noten_tab[Punkte],0),3))</f>
        <v>6</v>
      </c>
      <c r="HC12" s="75" t="str">
        <f t="shared" si="45"/>
        <v>Verbesserung</v>
      </c>
      <c r="HD12" s="5" t="str">
        <f t="shared" si="46"/>
        <v/>
      </c>
      <c r="HE12" s="75" t="str">
        <f t="shared" si="47"/>
        <v/>
      </c>
      <c r="HF12" s="5">
        <f t="shared" si="48"/>
        <v>0</v>
      </c>
      <c r="HG12" s="5">
        <f t="shared" si="162"/>
        <v>390</v>
      </c>
      <c r="HH12" s="201" t="str">
        <f>IFERROR(IF(HF12="","",$CW$28-IF($CU$56=390,INDEX(Schnitt_von_bis_390_tab[],MATCH($CW$29,Schnitt_von_bis_390_tab[Schnitt],0),3),INDEX(Schnitt_von_bis_420_tab[],MATCH($CW$29,Schnitt_von_bis_420_tab[Schnitt],0),3))),"")</f>
        <v/>
      </c>
      <c r="HI12" s="198" t="str">
        <f t="shared" si="49"/>
        <v/>
      </c>
      <c r="HJ12" s="199" t="str">
        <f t="shared" si="50"/>
        <v/>
      </c>
      <c r="HK12" s="78" t="str">
        <f t="shared" si="163"/>
        <v/>
      </c>
      <c r="HL12" s="78" t="str">
        <f t="shared" si="164"/>
        <v/>
      </c>
      <c r="HM12" s="193" t="str">
        <f t="shared" si="51"/>
        <v/>
      </c>
      <c r="HN12" s="194">
        <f t="shared" si="165"/>
        <v>0</v>
      </c>
      <c r="HO12" s="5" t="str">
        <f t="shared" si="166"/>
        <v/>
      </c>
      <c r="HP12" s="5" t="str">
        <f t="shared" si="167"/>
        <v/>
      </c>
      <c r="HQ12" s="192" t="str">
        <f t="shared" si="168"/>
        <v/>
      </c>
      <c r="HR12" s="5" t="str">
        <f t="shared" si="169"/>
        <v/>
      </c>
      <c r="HS12" s="192" t="str">
        <f t="shared" si="170"/>
        <v/>
      </c>
      <c r="HT12" s="5" t="str">
        <f t="shared" si="171"/>
        <v/>
      </c>
      <c r="HU12" s="192" t="str">
        <f t="shared" si="172"/>
        <v/>
      </c>
      <c r="HV12" s="5" t="str">
        <f t="shared" si="173"/>
        <v/>
      </c>
      <c r="HW12" s="192" t="str">
        <f t="shared" si="174"/>
        <v/>
      </c>
      <c r="HX12" s="111" t="str">
        <f t="shared" si="175"/>
        <v/>
      </c>
      <c r="HY12" s="5" t="str">
        <f t="shared" si="176"/>
        <v/>
      </c>
      <c r="HZ12" s="5" t="str">
        <f t="shared" si="177"/>
        <v/>
      </c>
      <c r="IA12" s="5" t="str">
        <f t="shared" si="178"/>
        <v/>
      </c>
      <c r="IB12" s="5" t="str">
        <f t="shared" si="179"/>
        <v/>
      </c>
      <c r="IC12" s="5" t="str">
        <f t="shared" si="180"/>
        <v/>
      </c>
      <c r="ID12" s="192" t="str">
        <f t="shared" si="181"/>
        <v/>
      </c>
      <c r="IE12" s="78" t="str">
        <f t="shared" si="182"/>
        <v/>
      </c>
      <c r="IF12" s="78" t="str">
        <f t="shared" si="183"/>
        <v/>
      </c>
      <c r="IG12" s="78" t="str">
        <f t="shared" si="184"/>
        <v/>
      </c>
      <c r="IH12" s="193" t="str">
        <f t="shared" si="185"/>
        <v/>
      </c>
      <c r="II12" s="5" t="str">
        <f t="shared" si="186"/>
        <v/>
      </c>
      <c r="IJ12" s="5" t="str">
        <f t="shared" si="187"/>
        <v/>
      </c>
      <c r="IK12" s="5" t="str">
        <f t="shared" si="188"/>
        <v/>
      </c>
      <c r="IL12" s="5" t="str">
        <f t="shared" si="189"/>
        <v/>
      </c>
      <c r="IM12" s="5" t="str">
        <f t="shared" si="190"/>
        <v/>
      </c>
      <c r="IN12" s="192" t="str">
        <f t="shared" si="191"/>
        <v/>
      </c>
      <c r="IO12" s="78" t="str">
        <f t="shared" si="192"/>
        <v/>
      </c>
      <c r="IP12" s="78" t="str">
        <f t="shared" si="193"/>
        <v/>
      </c>
      <c r="IQ12" s="78" t="str">
        <f t="shared" si="194"/>
        <v/>
      </c>
      <c r="IR12" s="193" t="str">
        <f t="shared" si="195"/>
        <v/>
      </c>
      <c r="IS12" s="5" t="str">
        <f t="shared" si="196"/>
        <v/>
      </c>
      <c r="IT12" s="5" t="str">
        <f t="shared" si="197"/>
        <v/>
      </c>
      <c r="IU12" s="5" t="str">
        <f t="shared" si="198"/>
        <v/>
      </c>
      <c r="IV12" s="5" t="str">
        <f t="shared" si="199"/>
        <v/>
      </c>
      <c r="IW12" s="5" t="str">
        <f t="shared" si="200"/>
        <v/>
      </c>
      <c r="IX12" s="110" t="str">
        <f t="shared" si="201"/>
        <v/>
      </c>
      <c r="IY12" s="5" t="str">
        <f t="shared" si="202"/>
        <v/>
      </c>
      <c r="IZ12" s="5" t="str">
        <f t="shared" si="203"/>
        <v/>
      </c>
      <c r="JA12" s="5" t="str">
        <f t="shared" si="204"/>
        <v/>
      </c>
      <c r="JB12" s="5" t="str">
        <f t="shared" si="205"/>
        <v/>
      </c>
      <c r="JC12" s="200" t="str">
        <f t="shared" si="206"/>
        <v/>
      </c>
      <c r="JD12" s="75" t="str">
        <f t="shared" si="207"/>
        <v/>
      </c>
      <c r="JE12" s="75" t="str">
        <f t="shared" si="208"/>
        <v/>
      </c>
      <c r="JF12" s="75" t="str">
        <f t="shared" si="209"/>
        <v/>
      </c>
      <c r="JG12" s="109" t="str">
        <f t="shared" si="210"/>
        <v/>
      </c>
      <c r="JH12" s="186" t="str">
        <f t="shared" si="52"/>
        <v/>
      </c>
      <c r="JI12" s="202">
        <f t="shared" si="53"/>
        <v>300</v>
      </c>
      <c r="JJ12" s="202" t="str">
        <f t="shared" si="54"/>
        <v/>
      </c>
      <c r="JK12" s="202" t="str">
        <f t="shared" si="55"/>
        <v/>
      </c>
      <c r="JL12" s="203" t="str">
        <f t="shared" si="56"/>
        <v/>
      </c>
      <c r="JM12" s="196" t="str">
        <f t="shared" si="57"/>
        <v/>
      </c>
      <c r="JN12" s="197" t="str">
        <f t="shared" si="58"/>
        <v/>
      </c>
      <c r="JO12" s="110" t="str">
        <f t="shared" si="211"/>
        <v/>
      </c>
      <c r="JP12" s="5" t="str">
        <f t="shared" si="59"/>
        <v/>
      </c>
      <c r="JQ12" s="111" t="str">
        <f t="shared" si="60"/>
        <v/>
      </c>
      <c r="JR12" s="92" t="str">
        <f t="shared" si="61"/>
        <v/>
      </c>
      <c r="JS12" s="108" t="str">
        <f t="shared" si="62"/>
        <v/>
      </c>
      <c r="JT12" s="109" t="str">
        <f t="shared" si="62"/>
        <v/>
      </c>
      <c r="JU12" s="91" t="str">
        <f t="shared" si="63"/>
        <v>ja</v>
      </c>
      <c r="JV12" s="108" t="str">
        <f t="shared" si="64"/>
        <v/>
      </c>
      <c r="JW12" s="109" t="str">
        <f t="shared" si="65"/>
        <v/>
      </c>
      <c r="JY12" s="110" t="str">
        <f t="shared" si="66"/>
        <v/>
      </c>
      <c r="JZ12" s="78" t="str">
        <f t="shared" si="66"/>
        <v/>
      </c>
      <c r="KA12" s="78">
        <f t="shared" si="67"/>
        <v>0</v>
      </c>
      <c r="KB12" s="111">
        <f t="shared" si="68"/>
        <v>0</v>
      </c>
      <c r="KD12" s="84" t="str">
        <f t="shared" si="69"/>
        <v>Profilfach 1</v>
      </c>
      <c r="KE12" s="22" t="str">
        <f t="shared" si="70"/>
        <v/>
      </c>
      <c r="KF12" s="22" t="str">
        <f t="shared" si="70"/>
        <v/>
      </c>
      <c r="KG12" s="10"/>
      <c r="KH12" s="30" t="str">
        <f t="shared" si="223"/>
        <v/>
      </c>
      <c r="KI12" s="135"/>
      <c r="KJ12" s="274" t="str">
        <f>IF(KB12=0,"",IF(J12="",ROUND((KA12/KB12),2),IF(KB12=0,"",ROUND((KA12+(2*O12))/(2+KB12),2))))</f>
        <v/>
      </c>
      <c r="KK12" s="274"/>
      <c r="KL12" s="275" t="str">
        <f t="shared" si="212"/>
        <v/>
      </c>
      <c r="KM12" s="275"/>
      <c r="KN12" s="168" t="str">
        <f>IF(KJ12="","",INDEX(Noten_tab[],MATCH(KL12,Noten_tab[Punkte],0),2))</f>
        <v/>
      </c>
      <c r="KO12" s="5" t="str">
        <f t="shared" si="71"/>
        <v/>
      </c>
    </row>
    <row r="13" spans="2:301" ht="18.75" customHeight="1" x14ac:dyDescent="0.25">
      <c r="B13" s="13" t="str">
        <f>VLOOKUP($B$2,Profilfaecher_tab[],3,FALSE)</f>
        <v>Profilfach 2</v>
      </c>
      <c r="C13" s="29" t="s">
        <v>49</v>
      </c>
      <c r="D13" s="26"/>
      <c r="E13" s="26"/>
      <c r="J13" s="4"/>
      <c r="K13" s="14">
        <f>IF(COUNT(J8,J9,J11,J12)&lt;3,5,SUM(K8:K12))</f>
        <v>5</v>
      </c>
      <c r="L13" s="14"/>
      <c r="M13" s="189" t="str">
        <f t="shared" si="72"/>
        <v/>
      </c>
      <c r="N13" s="189" t="str">
        <f t="shared" si="0"/>
        <v/>
      </c>
      <c r="O13" s="135"/>
      <c r="P13" s="12"/>
      <c r="Q13" s="88"/>
      <c r="R13" s="92">
        <f t="shared" si="73"/>
        <v>0</v>
      </c>
      <c r="S13" s="98" t="str">
        <f t="shared" si="215"/>
        <v/>
      </c>
      <c r="T13" s="99">
        <f t="shared" si="216"/>
        <v>0</v>
      </c>
      <c r="U13" s="99"/>
      <c r="V13" s="99"/>
      <c r="W13" s="99" t="str">
        <f t="shared" si="74"/>
        <v/>
      </c>
      <c r="X13" s="99">
        <f t="shared" si="75"/>
        <v>0</v>
      </c>
      <c r="Y13" s="99" t="str">
        <f t="shared" si="76"/>
        <v/>
      </c>
      <c r="Z13" s="101">
        <f t="shared" si="77"/>
        <v>1</v>
      </c>
      <c r="AA13" s="78">
        <f t="shared" si="78"/>
        <v>0.13</v>
      </c>
      <c r="AB13" s="78" t="str">
        <f t="shared" si="79"/>
        <v/>
      </c>
      <c r="AC13" s="78" t="str">
        <f t="shared" si="80"/>
        <v/>
      </c>
      <c r="AD13" s="78" t="str">
        <f t="shared" si="81"/>
        <v/>
      </c>
      <c r="AE13" s="78" t="str">
        <f t="shared" si="82"/>
        <v/>
      </c>
      <c r="AF13" s="78" t="str">
        <f>IF(AE13="","",INDEX(Noten_tab[],MATCH(AE13,Noten_tab[Punkte],0),2))</f>
        <v/>
      </c>
      <c r="AG13" s="110" t="str">
        <f t="shared" si="1"/>
        <v/>
      </c>
      <c r="AH13" s="31">
        <f>IF($C13="aut.",(Z13*300),"")</f>
        <v>300</v>
      </c>
      <c r="AI13" s="31" t="str">
        <f t="shared" si="2"/>
        <v/>
      </c>
      <c r="AJ13" s="111" t="str">
        <f t="shared" si="3"/>
        <v/>
      </c>
      <c r="AK13" s="108" t="str">
        <f t="shared" si="83"/>
        <v/>
      </c>
      <c r="AL13" s="118" t="str">
        <f t="shared" si="84"/>
        <v/>
      </c>
      <c r="AM13" s="110" t="str">
        <f t="shared" si="85"/>
        <v/>
      </c>
      <c r="AN13" s="78" t="str">
        <f t="shared" si="86"/>
        <v/>
      </c>
      <c r="AO13" s="111" t="str">
        <f t="shared" si="87"/>
        <v/>
      </c>
      <c r="AP13" s="92" t="str">
        <f t="shared" si="4"/>
        <v/>
      </c>
      <c r="AQ13" s="108" t="str">
        <f t="shared" si="88"/>
        <v/>
      </c>
      <c r="AR13" s="109" t="str">
        <f t="shared" si="89"/>
        <v/>
      </c>
      <c r="AS13" s="91" t="str">
        <f t="shared" si="90"/>
        <v>ja</v>
      </c>
      <c r="AT13" s="108" t="str">
        <f t="shared" si="91"/>
        <v/>
      </c>
      <c r="AU13" s="109" t="str">
        <f t="shared" si="92"/>
        <v/>
      </c>
      <c r="AV13" s="77"/>
      <c r="AW13" s="110" t="str">
        <f t="shared" si="93"/>
        <v/>
      </c>
      <c r="AX13" s="78" t="str">
        <f t="shared" si="217"/>
        <v/>
      </c>
      <c r="AY13" s="78">
        <f t="shared" si="5"/>
        <v>0</v>
      </c>
      <c r="AZ13" s="111">
        <f t="shared" si="6"/>
        <v>0</v>
      </c>
      <c r="BA13" s="77"/>
      <c r="BB13" s="11" t="str">
        <f t="shared" si="7"/>
        <v>Profilfach 2</v>
      </c>
      <c r="BC13" s="22" t="str">
        <f t="shared" si="8"/>
        <v/>
      </c>
      <c r="BD13" s="22" t="str">
        <f t="shared" si="8"/>
        <v/>
      </c>
      <c r="BE13" s="10"/>
      <c r="BF13" s="20"/>
      <c r="BG13" s="136"/>
      <c r="BH13" s="274" t="str">
        <f>IF(AZ13=0,"",ROUND((AY13/AZ13),2))</f>
        <v/>
      </c>
      <c r="BI13" s="274"/>
      <c r="BJ13" s="275" t="str">
        <f t="shared" si="213"/>
        <v/>
      </c>
      <c r="BK13" s="275"/>
      <c r="BL13" s="168" t="str">
        <f>IF(BH13="","",INDEX(Noten_tab[],MATCH(BJ13,Noten_tab[Punkte],0),2))</f>
        <v/>
      </c>
      <c r="BM13" s="5" t="str">
        <f t="shared" si="9"/>
        <v/>
      </c>
      <c r="BN13" s="78"/>
      <c r="BO13" s="10"/>
      <c r="BP13" s="143">
        <f>IF(AND($B$2="Internationale Wirtschaft",$B$22="Französisch/Spanisch als Profilfach 2"),20,MIN(M13:N13))</f>
        <v>0</v>
      </c>
      <c r="BQ13" s="99" t="str">
        <f>IF(COUNT(M13:N13)=0,"",AVERAGE(M13:N13))</f>
        <v/>
      </c>
      <c r="BR13" s="99">
        <f>IF(COUNT(M13:N13)&lt;2,MIN(M13:N13),(SUM(M13:N13)-MIN(M13:N13))/(COUNT(M13:N13)-1))</f>
        <v>0</v>
      </c>
      <c r="BS13" s="99"/>
      <c r="BT13" s="99"/>
      <c r="BU13" s="99" t="str">
        <f t="shared" si="94"/>
        <v/>
      </c>
      <c r="BV13" s="99">
        <f t="shared" si="95"/>
        <v>0</v>
      </c>
      <c r="BW13" s="99" t="str">
        <f t="shared" si="96"/>
        <v/>
      </c>
      <c r="BX13" s="101">
        <f t="shared" si="97"/>
        <v>1</v>
      </c>
      <c r="BY13" s="110" t="str">
        <f t="shared" si="11"/>
        <v/>
      </c>
      <c r="BZ13" s="154">
        <f>IF($C13="aut.",(BX13*300),"")</f>
        <v>300</v>
      </c>
      <c r="CA13" s="31" t="str">
        <f t="shared" si="12"/>
        <v/>
      </c>
      <c r="CB13" s="111" t="str">
        <f t="shared" si="13"/>
        <v/>
      </c>
      <c r="CC13" s="108" t="str">
        <f t="shared" si="14"/>
        <v/>
      </c>
      <c r="CD13" s="118" t="str">
        <f t="shared" si="98"/>
        <v/>
      </c>
      <c r="CE13" s="110" t="str">
        <f t="shared" si="99"/>
        <v/>
      </c>
      <c r="CF13" s="78" t="str">
        <f t="shared" si="15"/>
        <v/>
      </c>
      <c r="CG13" s="111" t="str">
        <f t="shared" si="16"/>
        <v/>
      </c>
      <c r="CH13" s="92" t="str">
        <f t="shared" si="17"/>
        <v/>
      </c>
      <c r="CI13" s="108" t="str">
        <f t="shared" si="18"/>
        <v/>
      </c>
      <c r="CJ13" s="109" t="str">
        <f t="shared" si="18"/>
        <v/>
      </c>
      <c r="CK13" s="91" t="str">
        <f t="shared" si="100"/>
        <v>ja</v>
      </c>
      <c r="CL13" s="108" t="str">
        <f t="shared" si="101"/>
        <v/>
      </c>
      <c r="CM13" s="109" t="str">
        <f t="shared" si="102"/>
        <v/>
      </c>
      <c r="CN13" s="77"/>
      <c r="CO13" s="110" t="str">
        <f t="shared" si="19"/>
        <v/>
      </c>
      <c r="CP13" s="78" t="str">
        <f t="shared" si="19"/>
        <v/>
      </c>
      <c r="CQ13" s="78">
        <f t="shared" si="20"/>
        <v>0</v>
      </c>
      <c r="CR13" s="111">
        <f t="shared" si="21"/>
        <v>0</v>
      </c>
      <c r="CT13" s="84" t="str">
        <f t="shared" si="103"/>
        <v>Profilfach 2</v>
      </c>
      <c r="CU13" s="22" t="str">
        <f t="shared" si="22"/>
        <v/>
      </c>
      <c r="CV13" s="22" t="str">
        <f t="shared" si="22"/>
        <v/>
      </c>
      <c r="CW13" s="10"/>
      <c r="CY13" s="134"/>
      <c r="CZ13" s="274" t="str">
        <f>IF(CR13=0,"",ROUND((CQ13/CR13),2))</f>
        <v/>
      </c>
      <c r="DA13" s="274"/>
      <c r="DB13" s="275" t="str">
        <f t="shared" si="104"/>
        <v/>
      </c>
      <c r="DC13" s="275"/>
      <c r="DD13" s="168" t="str">
        <f>IF(CZ13="","",INDEX(Noten_tab[],MATCH(DB13,Noten_tab[Punkte],0),2))</f>
        <v/>
      </c>
      <c r="DE13" s="5" t="str">
        <f t="shared" si="23"/>
        <v/>
      </c>
      <c r="DH13" s="204" t="str">
        <f t="shared" si="24"/>
        <v/>
      </c>
      <c r="DI13" s="76">
        <f t="shared" si="24"/>
        <v>0</v>
      </c>
      <c r="DJ13" s="76" t="str">
        <f>IF(DH13="","",INDEX(Noten_tab[],MATCH(DH13,Noten_tab[Punkte],0),3))</f>
        <v/>
      </c>
      <c r="DK13" s="76">
        <f>IF(DI13="","",INDEX(Noten_tab[],MATCH(DI13,Noten_tab[Punkte],0),3))</f>
        <v>6</v>
      </c>
      <c r="DL13" s="76" t="str">
        <f t="shared" si="25"/>
        <v>Verbesserung</v>
      </c>
      <c r="DM13" s="76" t="str">
        <f t="shared" si="105"/>
        <v/>
      </c>
      <c r="DN13" s="76" t="str">
        <f t="shared" si="26"/>
        <v/>
      </c>
      <c r="DO13" s="76">
        <f t="shared" si="27"/>
        <v>0</v>
      </c>
      <c r="DP13" s="201" t="str">
        <f>IFERROR(IF(DO13="","",$BE$27-INDEX(Schnitt_von_bis_390_tab[],MATCH($BE$28,Schnitt_von_bis_390_tab[Schnitt],0),3)),"")</f>
        <v/>
      </c>
      <c r="DQ13" s="190" t="str">
        <f t="shared" si="106"/>
        <v/>
      </c>
      <c r="DR13" s="191" t="str">
        <f t="shared" si="107"/>
        <v/>
      </c>
      <c r="DS13" s="192" t="str">
        <f t="shared" si="108"/>
        <v/>
      </c>
      <c r="DT13" s="78">
        <f t="shared" si="109"/>
        <v>0</v>
      </c>
      <c r="DU13" s="193" t="str">
        <f t="shared" si="110"/>
        <v/>
      </c>
      <c r="DV13" s="194">
        <f t="shared" si="111"/>
        <v>0</v>
      </c>
      <c r="DW13" s="5" t="str">
        <f t="shared" si="112"/>
        <v/>
      </c>
      <c r="DX13" s="5" t="str">
        <f t="shared" si="113"/>
        <v/>
      </c>
      <c r="DY13" s="192" t="str">
        <f t="shared" si="114"/>
        <v/>
      </c>
      <c r="DZ13" s="5" t="str">
        <f t="shared" si="115"/>
        <v/>
      </c>
      <c r="EA13" s="192" t="str">
        <f t="shared" si="116"/>
        <v/>
      </c>
      <c r="EB13" s="5" t="str">
        <f t="shared" si="117"/>
        <v/>
      </c>
      <c r="EC13" s="192" t="str">
        <f t="shared" si="118"/>
        <v/>
      </c>
      <c r="ED13" s="5" t="str">
        <f t="shared" si="119"/>
        <v/>
      </c>
      <c r="EE13" s="192" t="str">
        <f t="shared" si="120"/>
        <v/>
      </c>
      <c r="EF13" s="111" t="str">
        <f t="shared" si="121"/>
        <v/>
      </c>
      <c r="EG13" s="5" t="str">
        <f t="shared" si="122"/>
        <v/>
      </c>
      <c r="EH13" s="5" t="str">
        <f t="shared" si="123"/>
        <v/>
      </c>
      <c r="EI13" s="5" t="str">
        <f t="shared" si="124"/>
        <v/>
      </c>
      <c r="EJ13" s="5" t="str">
        <f t="shared" si="125"/>
        <v/>
      </c>
      <c r="EK13" s="5" t="str">
        <f t="shared" si="126"/>
        <v/>
      </c>
      <c r="EL13" s="192" t="str">
        <f t="shared" si="127"/>
        <v/>
      </c>
      <c r="EM13" s="78" t="str">
        <f t="shared" si="128"/>
        <v/>
      </c>
      <c r="EN13" s="78" t="str">
        <f t="shared" si="129"/>
        <v/>
      </c>
      <c r="EO13" s="78" t="str">
        <f t="shared" si="130"/>
        <v/>
      </c>
      <c r="EP13" s="193" t="str">
        <f t="shared" si="131"/>
        <v/>
      </c>
      <c r="EQ13" s="5" t="str">
        <f t="shared" si="132"/>
        <v/>
      </c>
      <c r="ER13" s="5" t="str">
        <f t="shared" si="133"/>
        <v/>
      </c>
      <c r="ES13" s="5" t="str">
        <f t="shared" si="134"/>
        <v/>
      </c>
      <c r="ET13" s="5" t="str">
        <f t="shared" si="135"/>
        <v/>
      </c>
      <c r="EU13" s="5" t="str">
        <f t="shared" si="136"/>
        <v/>
      </c>
      <c r="EV13" s="192" t="str">
        <f t="shared" si="137"/>
        <v/>
      </c>
      <c r="EW13" s="78" t="str">
        <f t="shared" si="138"/>
        <v/>
      </c>
      <c r="EX13" s="78" t="str">
        <f t="shared" si="139"/>
        <v/>
      </c>
      <c r="EY13" s="78" t="str">
        <f t="shared" si="140"/>
        <v/>
      </c>
      <c r="EZ13" s="193" t="str">
        <f t="shared" si="141"/>
        <v/>
      </c>
      <c r="FA13" s="5" t="str">
        <f t="shared" si="142"/>
        <v/>
      </c>
      <c r="FB13" s="5" t="str">
        <f t="shared" si="143"/>
        <v/>
      </c>
      <c r="FC13" s="5" t="str">
        <f t="shared" si="144"/>
        <v/>
      </c>
      <c r="FD13" s="5" t="str">
        <f t="shared" si="145"/>
        <v/>
      </c>
      <c r="FE13" s="5" t="str">
        <f t="shared" si="146"/>
        <v/>
      </c>
      <c r="FF13" s="205" t="str">
        <f t="shared" si="147"/>
        <v/>
      </c>
      <c r="FG13" s="74" t="str">
        <f t="shared" si="148"/>
        <v/>
      </c>
      <c r="FH13" s="74" t="str">
        <f t="shared" si="149"/>
        <v/>
      </c>
      <c r="FI13" s="74" t="str">
        <f t="shared" si="150"/>
        <v/>
      </c>
      <c r="FJ13" s="44" t="str">
        <f t="shared" si="151"/>
        <v/>
      </c>
      <c r="FK13" s="205" t="str">
        <f t="shared" si="152"/>
        <v/>
      </c>
      <c r="FL13" s="44" t="str">
        <f t="shared" si="153"/>
        <v/>
      </c>
      <c r="FM13" s="44" t="str">
        <f t="shared" si="154"/>
        <v/>
      </c>
      <c r="FN13" s="44" t="str">
        <f t="shared" si="155"/>
        <v/>
      </c>
      <c r="FO13" s="44" t="str">
        <f t="shared" si="156"/>
        <v/>
      </c>
      <c r="FP13" s="186" t="str">
        <f t="shared" si="28"/>
        <v/>
      </c>
      <c r="FQ13" s="76">
        <f t="shared" si="29"/>
        <v>300</v>
      </c>
      <c r="FR13" s="76" t="str">
        <f t="shared" si="30"/>
        <v/>
      </c>
      <c r="FS13" s="76" t="str">
        <f t="shared" si="31"/>
        <v/>
      </c>
      <c r="FT13" s="126" t="str">
        <f t="shared" si="32"/>
        <v/>
      </c>
      <c r="FU13" s="76" t="str">
        <f t="shared" si="33"/>
        <v/>
      </c>
      <c r="FV13" s="197" t="str">
        <f t="shared" si="34"/>
        <v/>
      </c>
      <c r="FW13" s="110" t="str">
        <f t="shared" si="157"/>
        <v/>
      </c>
      <c r="FX13" s="5" t="str">
        <f t="shared" si="35"/>
        <v/>
      </c>
      <c r="FY13" s="111" t="str">
        <f t="shared" si="36"/>
        <v/>
      </c>
      <c r="FZ13" s="92" t="str">
        <f t="shared" si="37"/>
        <v/>
      </c>
      <c r="GA13" s="108" t="str">
        <f t="shared" si="38"/>
        <v/>
      </c>
      <c r="GB13" s="109" t="str">
        <f t="shared" si="38"/>
        <v/>
      </c>
      <c r="GC13" s="91" t="str">
        <f t="shared" si="158"/>
        <v>ja</v>
      </c>
      <c r="GD13" s="108" t="str">
        <f t="shared" si="159"/>
        <v/>
      </c>
      <c r="GE13" s="109" t="str">
        <f t="shared" si="160"/>
        <v/>
      </c>
      <c r="GG13" s="110" t="str">
        <f t="shared" si="161"/>
        <v/>
      </c>
      <c r="GH13" s="78" t="str">
        <f t="shared" si="218"/>
        <v/>
      </c>
      <c r="GI13" s="78">
        <f t="shared" si="39"/>
        <v>0</v>
      </c>
      <c r="GJ13" s="111">
        <f t="shared" si="40"/>
        <v>0</v>
      </c>
      <c r="GK13" s="77"/>
      <c r="GL13" s="11" t="str">
        <f t="shared" si="41"/>
        <v>Profilfach 2</v>
      </c>
      <c r="GM13" s="22" t="str">
        <f t="shared" si="42"/>
        <v/>
      </c>
      <c r="GN13" s="22" t="str">
        <f t="shared" si="42"/>
        <v/>
      </c>
      <c r="GO13" s="10"/>
      <c r="GQ13" s="136"/>
      <c r="GR13" s="274" t="str">
        <f t="shared" ref="GR13:GR14" si="224">IF(GJ13=0,"",ROUND((GI13/GJ13),2))</f>
        <v/>
      </c>
      <c r="GS13" s="274"/>
      <c r="GT13" s="275" t="str">
        <f t="shared" si="214"/>
        <v/>
      </c>
      <c r="GU13" s="275"/>
      <c r="GV13" s="168" t="str">
        <f>IF(GR13="","",INDEX(Noten_tab[],MATCH(GT13,Noten_tab[Punkte],0),2))</f>
        <v/>
      </c>
      <c r="GW13" s="5" t="str">
        <f t="shared" si="43"/>
        <v/>
      </c>
      <c r="GX13" s="75"/>
      <c r="GY13" s="204" t="str">
        <f t="shared" si="44"/>
        <v/>
      </c>
      <c r="GZ13" s="76">
        <f t="shared" si="44"/>
        <v>0</v>
      </c>
      <c r="HA13" s="76" t="str">
        <f>IF(GY13="","",INDEX(Noten_tab[],MATCH(GY13,Noten_tab[Punkte],0),3))</f>
        <v/>
      </c>
      <c r="HB13" s="76">
        <f>IF(GZ13="","",INDEX(Noten_tab[],MATCH(GZ13,Noten_tab[Punkte],0),3))</f>
        <v>6</v>
      </c>
      <c r="HC13" s="201" t="str">
        <f>IF(AND($B$2="Internationale Wirtschaft",$B$22="Französisch/Spanisch als Profilfach 2"),"",IF(OR(CL13="aus",CM13="aus"),"",IF(HA13&gt;HB13,"Verbesserung","")))</f>
        <v>Verbesserung</v>
      </c>
      <c r="HD13" s="76" t="str">
        <f t="shared" si="46"/>
        <v/>
      </c>
      <c r="HE13" s="76" t="str">
        <f t="shared" si="47"/>
        <v/>
      </c>
      <c r="HF13" s="76">
        <f t="shared" si="48"/>
        <v>0</v>
      </c>
      <c r="HG13" s="76">
        <f t="shared" si="162"/>
        <v>390</v>
      </c>
      <c r="HH13" s="201" t="str">
        <f>IFERROR(IF(HF13="","",$CW$28-IF($CU$56=390,INDEX(Schnitt_von_bis_390_tab[],MATCH($CW$29,Schnitt_von_bis_390_tab[Schnitt],0),3),INDEX(Schnitt_von_bis_420_tab[],MATCH($CW$29,Schnitt_von_bis_420_tab[Schnitt],0),3))),"")</f>
        <v/>
      </c>
      <c r="HI13" s="198" t="str">
        <f t="shared" si="49"/>
        <v/>
      </c>
      <c r="HJ13" s="199" t="str">
        <f t="shared" si="50"/>
        <v/>
      </c>
      <c r="HK13" s="78" t="str">
        <f t="shared" si="163"/>
        <v/>
      </c>
      <c r="HL13" s="78" t="str">
        <f t="shared" si="164"/>
        <v/>
      </c>
      <c r="HM13" s="193" t="str">
        <f t="shared" si="51"/>
        <v/>
      </c>
      <c r="HN13" s="194">
        <f t="shared" si="165"/>
        <v>0</v>
      </c>
      <c r="HO13" s="5" t="str">
        <f t="shared" si="166"/>
        <v/>
      </c>
      <c r="HP13" s="5" t="str">
        <f t="shared" si="167"/>
        <v/>
      </c>
      <c r="HQ13" s="192" t="str">
        <f t="shared" si="168"/>
        <v/>
      </c>
      <c r="HR13" s="5" t="str">
        <f t="shared" si="169"/>
        <v/>
      </c>
      <c r="HS13" s="192" t="str">
        <f t="shared" si="170"/>
        <v/>
      </c>
      <c r="HT13" s="5" t="str">
        <f t="shared" si="171"/>
        <v/>
      </c>
      <c r="HU13" s="192" t="str">
        <f t="shared" si="172"/>
        <v/>
      </c>
      <c r="HV13" s="5" t="str">
        <f t="shared" si="173"/>
        <v/>
      </c>
      <c r="HW13" s="192" t="str">
        <f t="shared" si="174"/>
        <v/>
      </c>
      <c r="HX13" s="111" t="str">
        <f t="shared" si="175"/>
        <v/>
      </c>
      <c r="HY13" s="5" t="str">
        <f t="shared" si="176"/>
        <v/>
      </c>
      <c r="HZ13" s="5" t="str">
        <f t="shared" si="177"/>
        <v/>
      </c>
      <c r="IA13" s="5" t="str">
        <f t="shared" si="178"/>
        <v/>
      </c>
      <c r="IB13" s="5" t="str">
        <f t="shared" si="179"/>
        <v/>
      </c>
      <c r="IC13" s="5" t="str">
        <f t="shared" si="180"/>
        <v/>
      </c>
      <c r="ID13" s="192" t="str">
        <f t="shared" si="181"/>
        <v/>
      </c>
      <c r="IE13" s="78" t="str">
        <f t="shared" si="182"/>
        <v/>
      </c>
      <c r="IF13" s="78" t="str">
        <f t="shared" si="183"/>
        <v/>
      </c>
      <c r="IG13" s="78" t="str">
        <f t="shared" si="184"/>
        <v/>
      </c>
      <c r="IH13" s="193" t="str">
        <f t="shared" si="185"/>
        <v/>
      </c>
      <c r="II13" s="5" t="str">
        <f t="shared" si="186"/>
        <v/>
      </c>
      <c r="IJ13" s="5" t="str">
        <f t="shared" si="187"/>
        <v/>
      </c>
      <c r="IK13" s="5" t="str">
        <f t="shared" si="188"/>
        <v/>
      </c>
      <c r="IL13" s="5" t="str">
        <f t="shared" si="189"/>
        <v/>
      </c>
      <c r="IM13" s="5" t="str">
        <f t="shared" si="190"/>
        <v/>
      </c>
      <c r="IN13" s="192" t="str">
        <f t="shared" si="191"/>
        <v/>
      </c>
      <c r="IO13" s="78" t="str">
        <f t="shared" si="192"/>
        <v/>
      </c>
      <c r="IP13" s="78" t="str">
        <f t="shared" si="193"/>
        <v/>
      </c>
      <c r="IQ13" s="78" t="str">
        <f t="shared" si="194"/>
        <v/>
      </c>
      <c r="IR13" s="193" t="str">
        <f t="shared" si="195"/>
        <v/>
      </c>
      <c r="IS13" s="5" t="str">
        <f t="shared" si="196"/>
        <v/>
      </c>
      <c r="IT13" s="5" t="str">
        <f t="shared" si="197"/>
        <v/>
      </c>
      <c r="IU13" s="5" t="str">
        <f t="shared" si="198"/>
        <v/>
      </c>
      <c r="IV13" s="5" t="str">
        <f t="shared" si="199"/>
        <v/>
      </c>
      <c r="IW13" s="5" t="str">
        <f t="shared" si="200"/>
        <v/>
      </c>
      <c r="IX13" s="110" t="str">
        <f t="shared" si="201"/>
        <v/>
      </c>
      <c r="IY13" s="5" t="str">
        <f t="shared" si="202"/>
        <v/>
      </c>
      <c r="IZ13" s="5" t="str">
        <f t="shared" si="203"/>
        <v/>
      </c>
      <c r="JA13" s="5" t="str">
        <f t="shared" si="204"/>
        <v/>
      </c>
      <c r="JB13" s="5" t="str">
        <f t="shared" si="205"/>
        <v/>
      </c>
      <c r="JC13" s="206" t="str">
        <f t="shared" si="206"/>
        <v/>
      </c>
      <c r="JD13" s="74" t="str">
        <f t="shared" si="207"/>
        <v/>
      </c>
      <c r="JE13" s="74" t="str">
        <f t="shared" si="208"/>
        <v/>
      </c>
      <c r="JF13" s="74" t="str">
        <f t="shared" si="209"/>
        <v/>
      </c>
      <c r="JG13" s="207" t="str">
        <f t="shared" si="210"/>
        <v/>
      </c>
      <c r="JH13" s="186" t="str">
        <f>IF(AND($B$2="Internationale Wirtschaft",$B$22="Französisch/Spanisch als Profilfach 2"),20000,IF(C13="nein",10000+(Z13*5),""))</f>
        <v/>
      </c>
      <c r="JI13" s="201">
        <f>IF(AND($B$2="Internationale Wirtschaft",$B$22="Französisch/Spanisch als Profilfach 2"),20000,IF(OR(JC13="vorschlagen",JD13="vorschlagen",JE13="vorschlagen",JF13="vorschlagen",JG13="vorschlagen"),"",IF(C13="aut.",(Z13*300),"")))</f>
        <v>300</v>
      </c>
      <c r="JJ13" s="201" t="str">
        <f t="shared" si="54"/>
        <v/>
      </c>
      <c r="JK13" s="201" t="str">
        <f>IF(AND($B$2="Internationale Wirtschaft",$B$22="Französisch/Spanisch als Profilfach 2"),20000,IF(AND(HC13&lt;&gt;"",OR(JC13&lt;&gt;"",JD13&lt;&gt;"",JE13&lt;&gt;"",JF13&lt;&gt;"",JG13&lt;&gt;"")),25,IF(AND(HE13&lt;&gt;"",OR(JC13&lt;&gt;"",JD13&lt;&gt;"",JE13&lt;&gt;"",JF13&lt;&gt;"",JG13&lt;&gt;"")),8000,"")))</f>
        <v/>
      </c>
      <c r="JL13" s="208" t="str">
        <f>IF(AND($B$2="Internationale Wirtschaft",$B$22="Französisch/Spanisch als Profilfach 2"),20000,IF(C13="ja",50+Z13,""))</f>
        <v/>
      </c>
      <c r="JM13" s="76" t="str">
        <f t="shared" si="57"/>
        <v/>
      </c>
      <c r="JN13" s="197" t="str">
        <f t="shared" si="58"/>
        <v/>
      </c>
      <c r="JO13" s="110" t="str">
        <f t="shared" si="211"/>
        <v/>
      </c>
      <c r="JP13" s="5" t="str">
        <f t="shared" si="59"/>
        <v/>
      </c>
      <c r="JQ13" s="111" t="str">
        <f t="shared" si="60"/>
        <v/>
      </c>
      <c r="JR13" s="92" t="str">
        <f t="shared" si="61"/>
        <v/>
      </c>
      <c r="JS13" s="108" t="str">
        <f t="shared" si="62"/>
        <v/>
      </c>
      <c r="JT13" s="109" t="str">
        <f t="shared" si="62"/>
        <v/>
      </c>
      <c r="JU13" s="91" t="str">
        <f t="shared" si="63"/>
        <v>ja</v>
      </c>
      <c r="JV13" s="108" t="str">
        <f t="shared" si="64"/>
        <v/>
      </c>
      <c r="JW13" s="109" t="str">
        <f t="shared" si="65"/>
        <v/>
      </c>
      <c r="JY13" s="110" t="str">
        <f t="shared" si="66"/>
        <v/>
      </c>
      <c r="JZ13" s="78" t="str">
        <f t="shared" si="66"/>
        <v/>
      </c>
      <c r="KA13" s="78">
        <f t="shared" si="67"/>
        <v>0</v>
      </c>
      <c r="KB13" s="111">
        <f t="shared" si="68"/>
        <v>0</v>
      </c>
      <c r="KD13" s="84" t="str">
        <f t="shared" si="69"/>
        <v>Profilfach 2</v>
      </c>
      <c r="KE13" s="22" t="str">
        <f t="shared" si="70"/>
        <v/>
      </c>
      <c r="KF13" s="22" t="str">
        <f t="shared" si="70"/>
        <v/>
      </c>
      <c r="KG13" s="10"/>
      <c r="KI13" s="134"/>
      <c r="KJ13" s="274" t="str">
        <f t="shared" ref="KJ13:KJ14" si="225">IF(KB13=0,"",ROUND((KA13/KB13),2))</f>
        <v/>
      </c>
      <c r="KK13" s="274"/>
      <c r="KL13" s="275" t="str">
        <f t="shared" si="212"/>
        <v/>
      </c>
      <c r="KM13" s="275"/>
      <c r="KN13" s="168" t="str">
        <f>IF(KJ13="","",INDEX(Noten_tab[],MATCH(KL13,Noten_tab[Punkte],0),2))</f>
        <v/>
      </c>
      <c r="KO13" s="5" t="str">
        <f t="shared" si="71"/>
        <v/>
      </c>
    </row>
    <row r="14" spans="2:301" ht="18.75" customHeight="1" x14ac:dyDescent="0.25">
      <c r="B14" s="13" t="str">
        <f>VLOOKUP($B$2,Profilfaecher_tab[],4,FALSE)</f>
        <v>Profilfach 3</v>
      </c>
      <c r="C14" s="29" t="s">
        <v>49</v>
      </c>
      <c r="D14" s="26"/>
      <c r="E14" s="26"/>
      <c r="G14" s="433" t="str">
        <f>IF(COUNT(H8,H9,H11,H12)=4,"!!! zu viele mAP !!!","")</f>
        <v/>
      </c>
      <c r="H14" s="433"/>
      <c r="I14" s="433"/>
      <c r="J14" s="433"/>
      <c r="K14" s="14"/>
      <c r="L14" s="14"/>
      <c r="M14" s="189" t="str">
        <f t="shared" si="72"/>
        <v/>
      </c>
      <c r="N14" s="189" t="str">
        <f t="shared" si="0"/>
        <v/>
      </c>
      <c r="O14" s="135"/>
      <c r="P14" s="12"/>
      <c r="Q14" s="88"/>
      <c r="R14" s="92">
        <f t="shared" si="73"/>
        <v>0</v>
      </c>
      <c r="S14" s="98" t="str">
        <f t="shared" si="215"/>
        <v/>
      </c>
      <c r="T14" s="99">
        <f t="shared" si="216"/>
        <v>0</v>
      </c>
      <c r="U14" s="99"/>
      <c r="V14" s="99"/>
      <c r="W14" s="99" t="str">
        <f t="shared" si="74"/>
        <v/>
      </c>
      <c r="X14" s="99">
        <f t="shared" si="75"/>
        <v>0</v>
      </c>
      <c r="Y14" s="99" t="str">
        <f t="shared" si="76"/>
        <v/>
      </c>
      <c r="Z14" s="101">
        <f t="shared" si="77"/>
        <v>1</v>
      </c>
      <c r="AA14" s="78">
        <f t="shared" si="78"/>
        <v>0.14000000000000001</v>
      </c>
      <c r="AB14" s="78" t="str">
        <f t="shared" si="79"/>
        <v/>
      </c>
      <c r="AC14" s="78" t="str">
        <f t="shared" si="80"/>
        <v/>
      </c>
      <c r="AD14" s="78" t="str">
        <f t="shared" si="81"/>
        <v/>
      </c>
      <c r="AE14" s="78" t="str">
        <f t="shared" si="82"/>
        <v/>
      </c>
      <c r="AF14" s="78" t="str">
        <f>IF(AE14="","",INDEX(Noten_tab[],MATCH(AE14,Noten_tab[Punkte],0),2))</f>
        <v/>
      </c>
      <c r="AG14" s="110" t="str">
        <f t="shared" si="1"/>
        <v/>
      </c>
      <c r="AH14" s="31">
        <f>IF($C14="aut.",(Z14*300),"")</f>
        <v>300</v>
      </c>
      <c r="AI14" s="31" t="str">
        <f t="shared" si="2"/>
        <v/>
      </c>
      <c r="AJ14" s="111" t="str">
        <f t="shared" si="3"/>
        <v/>
      </c>
      <c r="AK14" s="108" t="str">
        <f t="shared" si="83"/>
        <v/>
      </c>
      <c r="AL14" s="118" t="str">
        <f t="shared" si="84"/>
        <v/>
      </c>
      <c r="AM14" s="110" t="str">
        <f t="shared" si="85"/>
        <v/>
      </c>
      <c r="AN14" s="78" t="str">
        <f t="shared" si="86"/>
        <v/>
      </c>
      <c r="AO14" s="111" t="str">
        <f t="shared" si="87"/>
        <v/>
      </c>
      <c r="AP14" s="92" t="str">
        <f t="shared" si="4"/>
        <v/>
      </c>
      <c r="AQ14" s="108" t="str">
        <f t="shared" si="88"/>
        <v/>
      </c>
      <c r="AR14" s="109" t="str">
        <f t="shared" si="89"/>
        <v/>
      </c>
      <c r="AS14" s="91" t="str">
        <f t="shared" si="90"/>
        <v>ja</v>
      </c>
      <c r="AT14" s="108" t="str">
        <f t="shared" si="91"/>
        <v/>
      </c>
      <c r="AU14" s="109" t="str">
        <f t="shared" si="92"/>
        <v/>
      </c>
      <c r="AV14" s="77"/>
      <c r="AW14" s="110" t="str">
        <f t="shared" si="93"/>
        <v/>
      </c>
      <c r="AX14" s="78" t="str">
        <f t="shared" si="217"/>
        <v/>
      </c>
      <c r="AY14" s="78">
        <f t="shared" si="5"/>
        <v>0</v>
      </c>
      <c r="AZ14" s="111">
        <f t="shared" si="6"/>
        <v>0</v>
      </c>
      <c r="BA14" s="77"/>
      <c r="BB14" s="11" t="str">
        <f t="shared" si="7"/>
        <v>Profilfach 3</v>
      </c>
      <c r="BC14" s="22" t="str">
        <f t="shared" si="8"/>
        <v/>
      </c>
      <c r="BD14" s="22" t="str">
        <f t="shared" si="8"/>
        <v/>
      </c>
      <c r="BE14" s="10"/>
      <c r="BF14" s="20"/>
      <c r="BG14" s="136"/>
      <c r="BH14" s="274" t="str">
        <f>IF(AZ14=0,"",ROUND((AY14/AZ14),2))</f>
        <v/>
      </c>
      <c r="BI14" s="274"/>
      <c r="BJ14" s="275" t="str">
        <f t="shared" si="213"/>
        <v/>
      </c>
      <c r="BK14" s="275"/>
      <c r="BL14" s="168" t="str">
        <f>IF(BH14="","",INDEX(Noten_tab[],MATCH(BJ14,Noten_tab[Punkte],0),2))</f>
        <v/>
      </c>
      <c r="BM14" s="5" t="str">
        <f t="shared" si="9"/>
        <v/>
      </c>
      <c r="BN14" s="78"/>
      <c r="BO14" s="10"/>
      <c r="BP14" s="143">
        <f>MIN(M14:N14)</f>
        <v>0</v>
      </c>
      <c r="BQ14" s="99" t="str">
        <f>IF(COUNT(M14:N14)=0,"",AVERAGE(M14:N14))</f>
        <v/>
      </c>
      <c r="BR14" s="99">
        <f>IF(COUNT(M14:N14)&lt;2,MIN(M14:N14),(SUM(M14:N14)-MIN(M14:N14))/(COUNT(M14:N14)-1))</f>
        <v>0</v>
      </c>
      <c r="BS14" s="99"/>
      <c r="BT14" s="99"/>
      <c r="BU14" s="99" t="str">
        <f t="shared" si="94"/>
        <v/>
      </c>
      <c r="BV14" s="99">
        <f t="shared" si="95"/>
        <v>0</v>
      </c>
      <c r="BW14" s="99" t="str">
        <f t="shared" si="96"/>
        <v/>
      </c>
      <c r="BX14" s="101">
        <f t="shared" si="97"/>
        <v>1</v>
      </c>
      <c r="BY14" s="110" t="str">
        <f t="shared" si="11"/>
        <v/>
      </c>
      <c r="BZ14" s="31">
        <f>IF($C14="aut.",(BX14*300),"")</f>
        <v>300</v>
      </c>
      <c r="CA14" s="31" t="str">
        <f t="shared" si="12"/>
        <v/>
      </c>
      <c r="CB14" s="111" t="str">
        <f t="shared" si="13"/>
        <v/>
      </c>
      <c r="CC14" s="108" t="str">
        <f t="shared" si="14"/>
        <v/>
      </c>
      <c r="CD14" s="118" t="str">
        <f t="shared" si="98"/>
        <v/>
      </c>
      <c r="CE14" s="110" t="str">
        <f t="shared" si="99"/>
        <v/>
      </c>
      <c r="CF14" s="78" t="str">
        <f t="shared" si="15"/>
        <v/>
      </c>
      <c r="CG14" s="111" t="str">
        <f t="shared" si="16"/>
        <v/>
      </c>
      <c r="CH14" s="92" t="str">
        <f t="shared" si="17"/>
        <v/>
      </c>
      <c r="CI14" s="108" t="str">
        <f t="shared" si="18"/>
        <v/>
      </c>
      <c r="CJ14" s="109" t="str">
        <f t="shared" si="18"/>
        <v/>
      </c>
      <c r="CK14" s="91" t="str">
        <f t="shared" si="100"/>
        <v>ja</v>
      </c>
      <c r="CL14" s="108" t="str">
        <f t="shared" si="101"/>
        <v/>
      </c>
      <c r="CM14" s="109" t="str">
        <f t="shared" si="102"/>
        <v/>
      </c>
      <c r="CN14" s="77"/>
      <c r="CO14" s="110" t="str">
        <f t="shared" si="19"/>
        <v/>
      </c>
      <c r="CP14" s="78" t="str">
        <f t="shared" si="19"/>
        <v/>
      </c>
      <c r="CQ14" s="78">
        <f t="shared" si="20"/>
        <v>0</v>
      </c>
      <c r="CR14" s="111">
        <f t="shared" si="21"/>
        <v>0</v>
      </c>
      <c r="CT14" s="84" t="str">
        <f t="shared" si="103"/>
        <v>Profilfach 3</v>
      </c>
      <c r="CU14" s="22" t="str">
        <f t="shared" si="22"/>
        <v/>
      </c>
      <c r="CV14" s="22" t="str">
        <f t="shared" si="22"/>
        <v/>
      </c>
      <c r="CW14" s="10"/>
      <c r="CY14" s="138"/>
      <c r="CZ14" s="274" t="str">
        <f>IF(CR14=0,"",ROUND((CQ14/CR14),2))</f>
        <v/>
      </c>
      <c r="DA14" s="274"/>
      <c r="DB14" s="275" t="str">
        <f t="shared" si="104"/>
        <v/>
      </c>
      <c r="DC14" s="275"/>
      <c r="DD14" s="168" t="str">
        <f>IF(CZ14="","",INDEX(Noten_tab[],MATCH(DB14,Noten_tab[Punkte],0),2))</f>
        <v/>
      </c>
      <c r="DE14" s="5" t="str">
        <f t="shared" si="23"/>
        <v/>
      </c>
      <c r="DH14" s="204" t="str">
        <f t="shared" si="24"/>
        <v/>
      </c>
      <c r="DI14" s="76">
        <f t="shared" si="24"/>
        <v>0</v>
      </c>
      <c r="DJ14" s="76" t="str">
        <f>IF(DH14="","",INDEX(Noten_tab[],MATCH(DH14,Noten_tab[Punkte],0),3))</f>
        <v/>
      </c>
      <c r="DK14" s="76">
        <f>IF(DI14="","",INDEX(Noten_tab[],MATCH(DI14,Noten_tab[Punkte],0),3))</f>
        <v>6</v>
      </c>
      <c r="DL14" s="76" t="str">
        <f t="shared" si="25"/>
        <v>Verbesserung</v>
      </c>
      <c r="DM14" s="76" t="str">
        <f t="shared" si="105"/>
        <v/>
      </c>
      <c r="DN14" s="76" t="str">
        <f t="shared" si="26"/>
        <v/>
      </c>
      <c r="DO14" s="76">
        <f t="shared" si="27"/>
        <v>0</v>
      </c>
      <c r="DP14" s="201" t="str">
        <f>IFERROR(IF(DO14="","",$BE$27-INDEX(Schnitt_von_bis_390_tab[],MATCH($BE$28,Schnitt_von_bis_390_tab[Schnitt],0),3)),"")</f>
        <v/>
      </c>
      <c r="DQ14" s="190" t="str">
        <f t="shared" si="106"/>
        <v/>
      </c>
      <c r="DR14" s="191" t="str">
        <f t="shared" si="107"/>
        <v/>
      </c>
      <c r="DS14" s="192" t="str">
        <f t="shared" si="108"/>
        <v/>
      </c>
      <c r="DT14" s="78">
        <f t="shared" si="109"/>
        <v>0</v>
      </c>
      <c r="DU14" s="193" t="str">
        <f t="shared" si="110"/>
        <v/>
      </c>
      <c r="DV14" s="194">
        <f t="shared" si="111"/>
        <v>0</v>
      </c>
      <c r="DW14" s="5" t="str">
        <f t="shared" si="112"/>
        <v/>
      </c>
      <c r="DX14" s="5" t="str">
        <f t="shared" si="113"/>
        <v/>
      </c>
      <c r="DY14" s="192" t="str">
        <f t="shared" si="114"/>
        <v/>
      </c>
      <c r="DZ14" s="5" t="str">
        <f t="shared" si="115"/>
        <v/>
      </c>
      <c r="EA14" s="192" t="str">
        <f t="shared" si="116"/>
        <v/>
      </c>
      <c r="EB14" s="5" t="str">
        <f t="shared" si="117"/>
        <v/>
      </c>
      <c r="EC14" s="192" t="str">
        <f t="shared" si="118"/>
        <v/>
      </c>
      <c r="ED14" s="5" t="str">
        <f t="shared" si="119"/>
        <v/>
      </c>
      <c r="EE14" s="192" t="str">
        <f t="shared" si="120"/>
        <v/>
      </c>
      <c r="EF14" s="111" t="str">
        <f t="shared" si="121"/>
        <v/>
      </c>
      <c r="EG14" s="5" t="str">
        <f t="shared" si="122"/>
        <v/>
      </c>
      <c r="EH14" s="5" t="str">
        <f t="shared" si="123"/>
        <v/>
      </c>
      <c r="EI14" s="5" t="str">
        <f t="shared" si="124"/>
        <v/>
      </c>
      <c r="EJ14" s="5" t="str">
        <f t="shared" si="125"/>
        <v/>
      </c>
      <c r="EK14" s="5" t="str">
        <f t="shared" si="126"/>
        <v/>
      </c>
      <c r="EL14" s="192" t="str">
        <f t="shared" si="127"/>
        <v/>
      </c>
      <c r="EM14" s="78" t="str">
        <f t="shared" si="128"/>
        <v/>
      </c>
      <c r="EN14" s="78" t="str">
        <f t="shared" si="129"/>
        <v/>
      </c>
      <c r="EO14" s="78" t="str">
        <f t="shared" si="130"/>
        <v/>
      </c>
      <c r="EP14" s="193" t="str">
        <f t="shared" si="131"/>
        <v/>
      </c>
      <c r="EQ14" s="5" t="str">
        <f t="shared" si="132"/>
        <v/>
      </c>
      <c r="ER14" s="5" t="str">
        <f t="shared" si="133"/>
        <v/>
      </c>
      <c r="ES14" s="5" t="str">
        <f t="shared" si="134"/>
        <v/>
      </c>
      <c r="ET14" s="5" t="str">
        <f t="shared" si="135"/>
        <v/>
      </c>
      <c r="EU14" s="5" t="str">
        <f t="shared" si="136"/>
        <v/>
      </c>
      <c r="EV14" s="192" t="str">
        <f t="shared" si="137"/>
        <v/>
      </c>
      <c r="EW14" s="78" t="str">
        <f t="shared" si="138"/>
        <v/>
      </c>
      <c r="EX14" s="78" t="str">
        <f t="shared" si="139"/>
        <v/>
      </c>
      <c r="EY14" s="78" t="str">
        <f t="shared" si="140"/>
        <v/>
      </c>
      <c r="EZ14" s="193" t="str">
        <f t="shared" si="141"/>
        <v/>
      </c>
      <c r="FA14" s="5" t="str">
        <f t="shared" si="142"/>
        <v/>
      </c>
      <c r="FB14" s="5" t="str">
        <f t="shared" si="143"/>
        <v/>
      </c>
      <c r="FC14" s="5" t="str">
        <f t="shared" si="144"/>
        <v/>
      </c>
      <c r="FD14" s="5" t="str">
        <f t="shared" si="145"/>
        <v/>
      </c>
      <c r="FE14" s="5" t="str">
        <f t="shared" si="146"/>
        <v/>
      </c>
      <c r="FF14" s="205" t="str">
        <f t="shared" si="147"/>
        <v/>
      </c>
      <c r="FG14" s="74" t="str">
        <f t="shared" si="148"/>
        <v/>
      </c>
      <c r="FH14" s="74" t="str">
        <f t="shared" si="149"/>
        <v/>
      </c>
      <c r="FI14" s="74" t="str">
        <f t="shared" si="150"/>
        <v/>
      </c>
      <c r="FJ14" s="44" t="str">
        <f t="shared" si="151"/>
        <v/>
      </c>
      <c r="FK14" s="205" t="str">
        <f t="shared" si="152"/>
        <v/>
      </c>
      <c r="FL14" s="44" t="str">
        <f t="shared" si="153"/>
        <v/>
      </c>
      <c r="FM14" s="44" t="str">
        <f t="shared" si="154"/>
        <v/>
      </c>
      <c r="FN14" s="44" t="str">
        <f t="shared" si="155"/>
        <v/>
      </c>
      <c r="FO14" s="44" t="str">
        <f t="shared" si="156"/>
        <v/>
      </c>
      <c r="FP14" s="186" t="str">
        <f t="shared" si="28"/>
        <v/>
      </c>
      <c r="FQ14" s="76">
        <f t="shared" si="29"/>
        <v>300</v>
      </c>
      <c r="FR14" s="76" t="str">
        <f t="shared" si="30"/>
        <v/>
      </c>
      <c r="FS14" s="76" t="str">
        <f t="shared" si="31"/>
        <v/>
      </c>
      <c r="FT14" s="126" t="str">
        <f t="shared" si="32"/>
        <v/>
      </c>
      <c r="FU14" s="76" t="str">
        <f t="shared" si="33"/>
        <v/>
      </c>
      <c r="FV14" s="197" t="str">
        <f t="shared" si="34"/>
        <v/>
      </c>
      <c r="FW14" s="110" t="str">
        <f t="shared" si="157"/>
        <v/>
      </c>
      <c r="FX14" s="5" t="str">
        <f t="shared" si="35"/>
        <v/>
      </c>
      <c r="FY14" s="111" t="str">
        <f t="shared" si="36"/>
        <v/>
      </c>
      <c r="FZ14" s="92" t="str">
        <f t="shared" si="37"/>
        <v/>
      </c>
      <c r="GA14" s="108" t="str">
        <f t="shared" si="38"/>
        <v/>
      </c>
      <c r="GB14" s="109" t="str">
        <f t="shared" si="38"/>
        <v/>
      </c>
      <c r="GC14" s="91" t="str">
        <f t="shared" si="158"/>
        <v>ja</v>
      </c>
      <c r="GD14" s="108" t="str">
        <f t="shared" si="159"/>
        <v/>
      </c>
      <c r="GE14" s="109" t="str">
        <f t="shared" si="160"/>
        <v/>
      </c>
      <c r="GG14" s="110" t="str">
        <f t="shared" si="161"/>
        <v/>
      </c>
      <c r="GH14" s="78" t="str">
        <f t="shared" si="218"/>
        <v/>
      </c>
      <c r="GI14" s="78">
        <f t="shared" si="39"/>
        <v>0</v>
      </c>
      <c r="GJ14" s="111">
        <f t="shared" si="40"/>
        <v>0</v>
      </c>
      <c r="GK14" s="77"/>
      <c r="GL14" s="11" t="str">
        <f t="shared" si="41"/>
        <v>Profilfach 3</v>
      </c>
      <c r="GM14" s="22" t="str">
        <f t="shared" si="42"/>
        <v/>
      </c>
      <c r="GN14" s="22" t="str">
        <f t="shared" si="42"/>
        <v/>
      </c>
      <c r="GO14" s="10"/>
      <c r="GP14" s="20"/>
      <c r="GQ14" s="136"/>
      <c r="GR14" s="274" t="str">
        <f t="shared" si="224"/>
        <v/>
      </c>
      <c r="GS14" s="274"/>
      <c r="GT14" s="275" t="str">
        <f t="shared" si="214"/>
        <v/>
      </c>
      <c r="GU14" s="275"/>
      <c r="GV14" s="168" t="str">
        <f>IF(GR14="","",INDEX(Noten_tab[],MATCH(GT14,Noten_tab[Punkte],0),2))</f>
        <v/>
      </c>
      <c r="GW14" s="5" t="str">
        <f t="shared" si="43"/>
        <v/>
      </c>
      <c r="GX14" s="75"/>
      <c r="GY14" s="204" t="str">
        <f t="shared" si="44"/>
        <v/>
      </c>
      <c r="GZ14" s="76">
        <f t="shared" si="44"/>
        <v>0</v>
      </c>
      <c r="HA14" s="76" t="str">
        <f>IF(GY14="","",INDEX(Noten_tab[],MATCH(GY14,Noten_tab[Punkte],0),3))</f>
        <v/>
      </c>
      <c r="HB14" s="76">
        <f>IF(GZ14="","",INDEX(Noten_tab[],MATCH(GZ14,Noten_tab[Punkte],0),3))</f>
        <v>6</v>
      </c>
      <c r="HC14" s="76" t="str">
        <f>IF(OR(CL14="aus",CM14="aus"),"",IF(HA14&gt;HB14,"Verbesserung",""))</f>
        <v>Verbesserung</v>
      </c>
      <c r="HD14" s="76" t="str">
        <f t="shared" si="46"/>
        <v/>
      </c>
      <c r="HE14" s="76" t="str">
        <f t="shared" si="47"/>
        <v/>
      </c>
      <c r="HF14" s="76">
        <f t="shared" si="48"/>
        <v>0</v>
      </c>
      <c r="HG14" s="76">
        <f t="shared" si="162"/>
        <v>390</v>
      </c>
      <c r="HH14" s="201" t="str">
        <f>IFERROR(IF(HF14="","",$CW$28-IF($CU$56=390,INDEX(Schnitt_von_bis_390_tab[],MATCH($CW$29,Schnitt_von_bis_390_tab[Schnitt],0),3),INDEX(Schnitt_von_bis_420_tab[],MATCH($CW$29,Schnitt_von_bis_420_tab[Schnitt],0),3))),"")</f>
        <v/>
      </c>
      <c r="HI14" s="198" t="str">
        <f t="shared" si="49"/>
        <v/>
      </c>
      <c r="HJ14" s="199" t="str">
        <f t="shared" si="50"/>
        <v/>
      </c>
      <c r="HK14" s="78" t="str">
        <f t="shared" si="163"/>
        <v/>
      </c>
      <c r="HL14" s="78" t="str">
        <f t="shared" si="164"/>
        <v/>
      </c>
      <c r="HM14" s="193" t="str">
        <f t="shared" si="51"/>
        <v/>
      </c>
      <c r="HN14" s="194">
        <f t="shared" si="165"/>
        <v>0</v>
      </c>
      <c r="HO14" s="5" t="str">
        <f t="shared" si="166"/>
        <v/>
      </c>
      <c r="HP14" s="5" t="str">
        <f t="shared" si="167"/>
        <v/>
      </c>
      <c r="HQ14" s="192" t="str">
        <f t="shared" si="168"/>
        <v/>
      </c>
      <c r="HR14" s="5" t="str">
        <f t="shared" si="169"/>
        <v/>
      </c>
      <c r="HS14" s="192" t="str">
        <f t="shared" si="170"/>
        <v/>
      </c>
      <c r="HT14" s="5" t="str">
        <f t="shared" si="171"/>
        <v/>
      </c>
      <c r="HU14" s="192" t="str">
        <f t="shared" si="172"/>
        <v/>
      </c>
      <c r="HV14" s="5" t="str">
        <f t="shared" si="173"/>
        <v/>
      </c>
      <c r="HW14" s="192" t="str">
        <f t="shared" si="174"/>
        <v/>
      </c>
      <c r="HX14" s="111" t="str">
        <f t="shared" si="175"/>
        <v/>
      </c>
      <c r="HY14" s="5" t="str">
        <f t="shared" si="176"/>
        <v/>
      </c>
      <c r="HZ14" s="5" t="str">
        <f t="shared" si="177"/>
        <v/>
      </c>
      <c r="IA14" s="5" t="str">
        <f t="shared" si="178"/>
        <v/>
      </c>
      <c r="IB14" s="5" t="str">
        <f t="shared" si="179"/>
        <v/>
      </c>
      <c r="IC14" s="5" t="str">
        <f t="shared" si="180"/>
        <v/>
      </c>
      <c r="ID14" s="192" t="str">
        <f t="shared" si="181"/>
        <v/>
      </c>
      <c r="IE14" s="78" t="str">
        <f t="shared" si="182"/>
        <v/>
      </c>
      <c r="IF14" s="78" t="str">
        <f t="shared" si="183"/>
        <v/>
      </c>
      <c r="IG14" s="78" t="str">
        <f t="shared" si="184"/>
        <v/>
      </c>
      <c r="IH14" s="193" t="str">
        <f t="shared" si="185"/>
        <v/>
      </c>
      <c r="II14" s="5" t="str">
        <f t="shared" si="186"/>
        <v/>
      </c>
      <c r="IJ14" s="5" t="str">
        <f t="shared" si="187"/>
        <v/>
      </c>
      <c r="IK14" s="5" t="str">
        <f t="shared" si="188"/>
        <v/>
      </c>
      <c r="IL14" s="5" t="str">
        <f t="shared" si="189"/>
        <v/>
      </c>
      <c r="IM14" s="5" t="str">
        <f t="shared" si="190"/>
        <v/>
      </c>
      <c r="IN14" s="192" t="str">
        <f t="shared" si="191"/>
        <v/>
      </c>
      <c r="IO14" s="78" t="str">
        <f t="shared" si="192"/>
        <v/>
      </c>
      <c r="IP14" s="78" t="str">
        <f t="shared" si="193"/>
        <v/>
      </c>
      <c r="IQ14" s="78" t="str">
        <f t="shared" si="194"/>
        <v/>
      </c>
      <c r="IR14" s="193" t="str">
        <f t="shared" si="195"/>
        <v/>
      </c>
      <c r="IS14" s="5" t="str">
        <f t="shared" si="196"/>
        <v/>
      </c>
      <c r="IT14" s="5" t="str">
        <f t="shared" si="197"/>
        <v/>
      </c>
      <c r="IU14" s="5" t="str">
        <f t="shared" si="198"/>
        <v/>
      </c>
      <c r="IV14" s="5" t="str">
        <f t="shared" si="199"/>
        <v/>
      </c>
      <c r="IW14" s="5" t="str">
        <f t="shared" si="200"/>
        <v/>
      </c>
      <c r="IX14" s="110" t="str">
        <f t="shared" si="201"/>
        <v/>
      </c>
      <c r="IY14" s="5" t="str">
        <f t="shared" si="202"/>
        <v/>
      </c>
      <c r="IZ14" s="5" t="str">
        <f t="shared" si="203"/>
        <v/>
      </c>
      <c r="JA14" s="5" t="str">
        <f t="shared" si="204"/>
        <v/>
      </c>
      <c r="JB14" s="5" t="str">
        <f t="shared" si="205"/>
        <v/>
      </c>
      <c r="JC14" s="206" t="str">
        <f t="shared" si="206"/>
        <v/>
      </c>
      <c r="JD14" s="74" t="str">
        <f t="shared" si="207"/>
        <v/>
      </c>
      <c r="JE14" s="74" t="str">
        <f t="shared" si="208"/>
        <v/>
      </c>
      <c r="JF14" s="74" t="str">
        <f t="shared" si="209"/>
        <v/>
      </c>
      <c r="JG14" s="207" t="str">
        <f t="shared" si="210"/>
        <v/>
      </c>
      <c r="JH14" s="186" t="str">
        <f>IF(C14="nein",10000+(Z14*5),"")</f>
        <v/>
      </c>
      <c r="JI14" s="76">
        <f>IF(OR(JC14="vorschlagen",JD14="vorschlagen",JE14="vorschlagen",JF14="vorschlagen",JG14="vorschlagen"),"",IF(C14="aut.",(Z14*300),""))</f>
        <v>300</v>
      </c>
      <c r="JJ14" s="201" t="str">
        <f t="shared" si="54"/>
        <v/>
      </c>
      <c r="JK14" s="76" t="str">
        <f>IF(AND(HC14&lt;&gt;"",OR(JC14&lt;&gt;"",JD14&lt;&gt;"",JE14&lt;&gt;"",JF14&lt;&gt;"",JG14&lt;&gt;"")),25,IF(AND(HE14&lt;&gt;"",OR(JC14&lt;&gt;"",JD14&lt;&gt;"",JE14&lt;&gt;"",JF14&lt;&gt;"",JG14&lt;&gt;"")),8000,""))</f>
        <v/>
      </c>
      <c r="JL14" s="126" t="str">
        <f>IF(C14="ja",50+Z14,"")</f>
        <v/>
      </c>
      <c r="JM14" s="76" t="str">
        <f t="shared" si="57"/>
        <v/>
      </c>
      <c r="JN14" s="197" t="str">
        <f t="shared" si="58"/>
        <v/>
      </c>
      <c r="JO14" s="110" t="str">
        <f t="shared" si="211"/>
        <v/>
      </c>
      <c r="JP14" s="5" t="str">
        <f t="shared" si="59"/>
        <v/>
      </c>
      <c r="JQ14" s="111" t="str">
        <f t="shared" si="60"/>
        <v/>
      </c>
      <c r="JR14" s="92" t="str">
        <f t="shared" si="61"/>
        <v/>
      </c>
      <c r="JS14" s="108" t="str">
        <f t="shared" si="62"/>
        <v/>
      </c>
      <c r="JT14" s="109" t="str">
        <f t="shared" si="62"/>
        <v/>
      </c>
      <c r="JU14" s="91" t="str">
        <f t="shared" si="63"/>
        <v>ja</v>
      </c>
      <c r="JV14" s="108" t="str">
        <f t="shared" si="64"/>
        <v/>
      </c>
      <c r="JW14" s="109" t="str">
        <f t="shared" si="65"/>
        <v/>
      </c>
      <c r="JY14" s="110" t="str">
        <f t="shared" si="66"/>
        <v/>
      </c>
      <c r="JZ14" s="78" t="str">
        <f t="shared" si="66"/>
        <v/>
      </c>
      <c r="KA14" s="78">
        <f t="shared" si="67"/>
        <v>0</v>
      </c>
      <c r="KB14" s="111">
        <f t="shared" si="68"/>
        <v>0</v>
      </c>
      <c r="KD14" s="84" t="str">
        <f t="shared" si="69"/>
        <v>Profilfach 3</v>
      </c>
      <c r="KE14" s="22" t="str">
        <f t="shared" si="70"/>
        <v/>
      </c>
      <c r="KF14" s="22" t="str">
        <f t="shared" si="70"/>
        <v/>
      </c>
      <c r="KG14" s="10"/>
      <c r="KI14" s="138"/>
      <c r="KJ14" s="274" t="str">
        <f t="shared" si="225"/>
        <v/>
      </c>
      <c r="KK14" s="274"/>
      <c r="KL14" s="275" t="str">
        <f t="shared" si="212"/>
        <v/>
      </c>
      <c r="KM14" s="275"/>
      <c r="KN14" s="168" t="str">
        <f>IF(KJ14="","",INDEX(Noten_tab[],MATCH(KL14,Noten_tab[Punkte],0),2))</f>
        <v/>
      </c>
      <c r="KO14" s="5" t="str">
        <f t="shared" si="71"/>
        <v/>
      </c>
    </row>
    <row r="15" spans="2:301" ht="18.75" customHeight="1" x14ac:dyDescent="0.25">
      <c r="B15" s="13" t="s">
        <v>54</v>
      </c>
      <c r="C15" s="209"/>
      <c r="D15" s="414"/>
      <c r="E15" s="415"/>
      <c r="J15" s="4"/>
      <c r="K15" s="5" t="str">
        <f>IFERROR(IF(COUNT(G8:G9,G11:G12)&lt;4,"zu wenig APE",IF(K13&lt;=2,"bestanden","nicht b.")),"")</f>
        <v>zu wenig APE</v>
      </c>
      <c r="L15" s="5"/>
      <c r="M15" s="426" t="str">
        <f t="shared" si="72"/>
        <v/>
      </c>
      <c r="N15" s="427"/>
      <c r="O15" s="135"/>
      <c r="P15" s="12"/>
      <c r="Q15" s="88"/>
      <c r="R15" s="93"/>
      <c r="S15" s="102"/>
      <c r="T15" s="103"/>
      <c r="U15" s="103"/>
      <c r="V15" s="103"/>
      <c r="W15" s="103"/>
      <c r="X15" s="103"/>
      <c r="Y15" s="103"/>
      <c r="Z15" s="104"/>
      <c r="AA15" s="79"/>
      <c r="AB15" s="79"/>
      <c r="AC15" s="79"/>
      <c r="AD15" s="79"/>
      <c r="AE15" s="79"/>
      <c r="AF15" s="79"/>
      <c r="AG15" s="112"/>
      <c r="AH15" s="32"/>
      <c r="AI15" s="32"/>
      <c r="AJ15" s="113"/>
      <c r="AK15" s="119"/>
      <c r="AL15" s="120"/>
      <c r="AM15" s="112"/>
      <c r="AN15" s="79"/>
      <c r="AO15" s="113"/>
      <c r="AP15" s="93"/>
      <c r="AQ15" s="119"/>
      <c r="AR15" s="127"/>
      <c r="AS15" s="130"/>
      <c r="AT15" s="119"/>
      <c r="AU15" s="127"/>
      <c r="AV15" s="75"/>
      <c r="AW15" s="110"/>
      <c r="AX15" s="78"/>
      <c r="AY15" s="78"/>
      <c r="AZ15" s="111"/>
      <c r="BA15" s="75"/>
      <c r="BB15" s="11" t="str">
        <f t="shared" si="7"/>
        <v>Seminar</v>
      </c>
      <c r="BC15" s="276" t="str">
        <f>IF($B$20="Bitte klicken zum Auswählen","",IF(D15="","",D15))</f>
        <v/>
      </c>
      <c r="BD15" s="277"/>
      <c r="BE15" s="10"/>
      <c r="BF15" s="20"/>
      <c r="BG15" s="136"/>
      <c r="BH15" s="274" t="str">
        <f>IF(D15="","",ROUND(D15,2))</f>
        <v/>
      </c>
      <c r="BI15" s="274"/>
      <c r="BJ15" s="275" t="str">
        <f t="shared" si="213"/>
        <v/>
      </c>
      <c r="BK15" s="275"/>
      <c r="BL15" s="168" t="str">
        <f>IF(BH15="","",INDEX(Noten_tab[],MATCH(BJ15,Noten_tab[Punkte],0),2))</f>
        <v/>
      </c>
      <c r="BM15" s="5" t="str">
        <f t="shared" si="9"/>
        <v/>
      </c>
      <c r="BN15" s="78"/>
      <c r="BO15" s="10"/>
      <c r="BP15" s="144"/>
      <c r="BQ15" s="103"/>
      <c r="BR15" s="103"/>
      <c r="BS15" s="103"/>
      <c r="BT15" s="103"/>
      <c r="BU15" s="103"/>
      <c r="BV15" s="103"/>
      <c r="BW15" s="103"/>
      <c r="BX15" s="104"/>
      <c r="BY15" s="112"/>
      <c r="BZ15" s="32"/>
      <c r="CA15" s="32"/>
      <c r="CB15" s="113"/>
      <c r="CC15" s="119"/>
      <c r="CD15" s="120"/>
      <c r="CE15" s="112"/>
      <c r="CF15" s="79"/>
      <c r="CG15" s="113"/>
      <c r="CH15" s="93"/>
      <c r="CI15" s="119"/>
      <c r="CJ15" s="127"/>
      <c r="CK15" s="130"/>
      <c r="CL15" s="119"/>
      <c r="CM15" s="127"/>
      <c r="CN15" s="77"/>
      <c r="CO15" s="110"/>
      <c r="CP15" s="78"/>
      <c r="CQ15" s="78"/>
      <c r="CR15" s="111"/>
      <c r="CT15" s="84" t="str">
        <f t="shared" si="103"/>
        <v>Seminar</v>
      </c>
      <c r="CU15" s="276" t="str">
        <f>IF(AND($B$20="Allgemeine Hochschulreife",$B$22="Bitte klicken zum Auswählen"),"",IF(AND($B$20="Allgemeine Hochschulreife",$B$22&lt;&gt;"Ausgewiesenes Sprachniveau B1 durch andere Schule"),IF(D15="","",D15),""))</f>
        <v/>
      </c>
      <c r="CV15" s="277"/>
      <c r="CW15" s="10"/>
      <c r="CY15" s="134"/>
      <c r="CZ15" s="274" t="str">
        <f>IF(OR($B$20="Fachgebundene Hochschulreife",AND($B$20="Allgemeine Hochschulreife",OR($B$22="Ausgewiesenes Sprachniveau B1 durch andere Schule",$B$22="Bitte klicken zum Auswählen"))),"",IF(D15="","",ROUND(D15,2)))</f>
        <v/>
      </c>
      <c r="DA15" s="274"/>
      <c r="DB15" s="275" t="str">
        <f t="shared" si="104"/>
        <v/>
      </c>
      <c r="DC15" s="275"/>
      <c r="DD15" s="168" t="str">
        <f>IF(CZ15="","",INDEX(Noten_tab[],MATCH(DB15,Noten_tab[Punkte],0),2))</f>
        <v/>
      </c>
      <c r="DE15" s="5" t="str">
        <f t="shared" si="23"/>
        <v/>
      </c>
      <c r="DH15" s="112"/>
      <c r="DI15" s="79"/>
      <c r="DJ15" s="79"/>
      <c r="DK15" s="79"/>
      <c r="DL15" s="79"/>
      <c r="DM15" s="79"/>
      <c r="DN15" s="79"/>
      <c r="DO15" s="79"/>
      <c r="DP15" s="210" t="str">
        <f>IFERROR(IF(DO15="","",$BE$27-INDEX(Schnitt_von_bis_390_tab[],MATCH($BE$28,Schnitt_von_bis_390_tab[Schnitt],0),3)),"")</f>
        <v/>
      </c>
      <c r="DQ15" s="211"/>
      <c r="DR15" s="211"/>
      <c r="DS15" s="212" t="str">
        <f t="shared" si="108"/>
        <v/>
      </c>
      <c r="DT15" s="79" t="str">
        <f t="shared" si="109"/>
        <v/>
      </c>
      <c r="DU15" s="213" t="str">
        <f t="shared" si="110"/>
        <v/>
      </c>
      <c r="DV15" s="214"/>
      <c r="DW15" s="79"/>
      <c r="DX15" s="79"/>
      <c r="DY15" s="212"/>
      <c r="DZ15" s="79"/>
      <c r="EA15" s="212"/>
      <c r="EB15" s="79"/>
      <c r="EC15" s="212"/>
      <c r="ED15" s="79"/>
      <c r="EE15" s="212"/>
      <c r="EF15" s="113"/>
      <c r="EG15" s="79"/>
      <c r="EH15" s="79"/>
      <c r="EI15" s="79"/>
      <c r="EJ15" s="79"/>
      <c r="EK15" s="79"/>
      <c r="EL15" s="212"/>
      <c r="EM15" s="79"/>
      <c r="EN15" s="79"/>
      <c r="EO15" s="79"/>
      <c r="EP15" s="213"/>
      <c r="EQ15" s="79"/>
      <c r="ER15" s="79"/>
      <c r="ES15" s="79"/>
      <c r="ET15" s="79"/>
      <c r="EU15" s="79"/>
      <c r="EV15" s="212"/>
      <c r="EW15" s="79"/>
      <c r="EX15" s="79"/>
      <c r="EY15" s="79"/>
      <c r="EZ15" s="213"/>
      <c r="FA15" s="79"/>
      <c r="FB15" s="79"/>
      <c r="FC15" s="79"/>
      <c r="FD15" s="79"/>
      <c r="FE15" s="79"/>
      <c r="FF15" s="112"/>
      <c r="FG15" s="79"/>
      <c r="FH15" s="79"/>
      <c r="FI15" s="79"/>
      <c r="FJ15" s="79"/>
      <c r="FK15" s="112"/>
      <c r="FL15" s="79"/>
      <c r="FM15" s="79"/>
      <c r="FN15" s="79"/>
      <c r="FO15" s="79"/>
      <c r="FP15" s="112"/>
      <c r="FQ15" s="79"/>
      <c r="FR15" s="79"/>
      <c r="FS15" s="79"/>
      <c r="FT15" s="79"/>
      <c r="FU15" s="112"/>
      <c r="FV15" s="215"/>
      <c r="FW15" s="79"/>
      <c r="FX15" s="79"/>
      <c r="FY15" s="79"/>
      <c r="FZ15" s="93"/>
      <c r="GA15" s="79"/>
      <c r="GB15" s="79"/>
      <c r="GC15" s="93"/>
      <c r="GD15" s="79"/>
      <c r="GE15" s="113"/>
      <c r="GG15" s="110"/>
      <c r="GH15" s="78"/>
      <c r="GI15" s="78"/>
      <c r="GJ15" s="111"/>
      <c r="GK15" s="75"/>
      <c r="GL15" s="11" t="str">
        <f t="shared" si="41"/>
        <v>Seminar</v>
      </c>
      <c r="GM15" s="276" t="str">
        <f>IF($B$20="Bitte klicken zum Auswählen","",IF(D15="","",D15))</f>
        <v/>
      </c>
      <c r="GN15" s="277"/>
      <c r="GO15" s="10"/>
      <c r="GP15" s="20"/>
      <c r="GQ15" s="136"/>
      <c r="GR15" s="274" t="str">
        <f>IF(D15="","",ROUND(D15,2))</f>
        <v/>
      </c>
      <c r="GS15" s="274"/>
      <c r="GT15" s="275" t="str">
        <f t="shared" si="214"/>
        <v/>
      </c>
      <c r="GU15" s="275"/>
      <c r="GV15" s="168" t="str">
        <f>IF(GR15="","",INDEX(Noten_tab[],MATCH(GT15,Noten_tab[Punkte],0),2))</f>
        <v/>
      </c>
      <c r="GW15" s="5" t="str">
        <f t="shared" si="43"/>
        <v/>
      </c>
      <c r="GX15" s="75"/>
      <c r="GY15" s="112"/>
      <c r="GZ15" s="79"/>
      <c r="HA15" s="79"/>
      <c r="HB15" s="79"/>
      <c r="HC15" s="79"/>
      <c r="HD15" s="79" t="str">
        <f t="shared" si="46"/>
        <v/>
      </c>
      <c r="HE15" s="79"/>
      <c r="HF15" s="79" t="str">
        <f t="shared" si="48"/>
        <v/>
      </c>
      <c r="HG15" s="79" t="str">
        <f t="shared" si="162"/>
        <v/>
      </c>
      <c r="HH15" s="210"/>
      <c r="HI15" s="216"/>
      <c r="HJ15" s="216"/>
      <c r="HK15" s="79" t="str">
        <f t="shared" si="163"/>
        <v/>
      </c>
      <c r="HL15" s="79"/>
      <c r="HM15" s="213"/>
      <c r="HN15" s="214"/>
      <c r="HO15" s="79"/>
      <c r="HP15" s="79"/>
      <c r="HQ15" s="212"/>
      <c r="HR15" s="79"/>
      <c r="HS15" s="212"/>
      <c r="HT15" s="79"/>
      <c r="HU15" s="212"/>
      <c r="HV15" s="79"/>
      <c r="HW15" s="212"/>
      <c r="HX15" s="113"/>
      <c r="HY15" s="79"/>
      <c r="HZ15" s="79"/>
      <c r="IA15" s="79"/>
      <c r="IB15" s="79"/>
      <c r="IC15" s="79"/>
      <c r="ID15" s="212"/>
      <c r="IE15" s="79"/>
      <c r="IF15" s="79"/>
      <c r="IG15" s="79"/>
      <c r="IH15" s="213"/>
      <c r="II15" s="79"/>
      <c r="IJ15" s="79"/>
      <c r="IK15" s="79"/>
      <c r="IL15" s="79"/>
      <c r="IM15" s="79"/>
      <c r="IN15" s="212"/>
      <c r="IO15" s="79"/>
      <c r="IP15" s="79"/>
      <c r="IQ15" s="79"/>
      <c r="IR15" s="213"/>
      <c r="IS15" s="79"/>
      <c r="IT15" s="79"/>
      <c r="IU15" s="79"/>
      <c r="IV15" s="79"/>
      <c r="IW15" s="79"/>
      <c r="IX15" s="112"/>
      <c r="IY15" s="79"/>
      <c r="IZ15" s="79"/>
      <c r="JA15" s="79"/>
      <c r="JB15" s="79"/>
      <c r="JC15" s="217"/>
      <c r="JD15" s="79"/>
      <c r="JE15" s="79"/>
      <c r="JF15" s="79"/>
      <c r="JG15" s="79"/>
      <c r="JH15" s="112"/>
      <c r="JI15" s="79"/>
      <c r="JJ15" s="79"/>
      <c r="JK15" s="79"/>
      <c r="JL15" s="79"/>
      <c r="JM15" s="112"/>
      <c r="JN15" s="215"/>
      <c r="JO15" s="79"/>
      <c r="JP15" s="79"/>
      <c r="JQ15" s="79"/>
      <c r="JR15" s="93"/>
      <c r="JS15" s="79"/>
      <c r="JT15" s="79" t="str">
        <f>IF(E15="","",_xlfn.RANK.EQ(N15,$M15:$N15,1)+COLUMN(E15)/100)</f>
        <v/>
      </c>
      <c r="JU15" s="93"/>
      <c r="JV15" s="79"/>
      <c r="JW15" s="113"/>
      <c r="JY15" s="110"/>
      <c r="JZ15" s="78"/>
      <c r="KA15" s="78"/>
      <c r="KB15" s="111"/>
      <c r="KD15" s="84" t="str">
        <f t="shared" si="69"/>
        <v>Seminar</v>
      </c>
      <c r="KE15" s="276" t="str">
        <f>IF(AND($B$20="Allgemeine Hochschulreife",$B$22="Bitte klicken zum Auswählen"),"",IF(AND($B$20="Allgemeine Hochschulreife",$B$22&lt;&gt;"Ausgewiesenes Sprachniveau B1 durch andere Schule"),IF(D15="","",D15),""))</f>
        <v/>
      </c>
      <c r="KF15" s="277"/>
      <c r="KG15" s="10"/>
      <c r="KI15" s="134"/>
      <c r="KJ15" s="274" t="str">
        <f>IF(OR($B$20="Fachgebundene Hochschulreife",AND($B$20="Allgemeine Hochschulreife",OR($B$22="Ausgewiesenes Sprachniveau B1 durch andere Schule",$B$22="Bitte klicken zum Auswählen"))),"",IF(D15="","",ROUND(D15,2)))</f>
        <v/>
      </c>
      <c r="KK15" s="274"/>
      <c r="KL15" s="275" t="str">
        <f t="shared" si="212"/>
        <v/>
      </c>
      <c r="KM15" s="275"/>
      <c r="KN15" s="168" t="str">
        <f>IF(KJ15="","",INDEX(Noten_tab[],MATCH(KL15,Noten_tab[Punkte],0),2))</f>
        <v/>
      </c>
      <c r="KO15" s="5" t="str">
        <f t="shared" si="71"/>
        <v/>
      </c>
    </row>
    <row r="16" spans="2:301" ht="18.75" customHeight="1" x14ac:dyDescent="0.25">
      <c r="B16" s="25" t="s">
        <v>71</v>
      </c>
      <c r="C16" s="2" t="s">
        <v>49</v>
      </c>
      <c r="D16" s="26"/>
      <c r="E16" s="26"/>
      <c r="K16" s="12"/>
      <c r="L16" s="12"/>
      <c r="M16" s="218" t="str">
        <f>IF(D16="","",IF(D16="k",0,D16))</f>
        <v/>
      </c>
      <c r="N16" s="189" t="str">
        <f>IF(E16="","",IF(E16="k",0,E16))</f>
        <v/>
      </c>
      <c r="O16" s="135"/>
      <c r="P16" s="12"/>
      <c r="Q16" s="88" t="str">
        <f>IF(OR(B16="Kunst",B16="Musik",B16="Studier- und Arbeitstechniken",B16="Szenisches Gestalten",B16="Sport"),"nein",IF(COUNT(D16:E16)=0,"","ja"))</f>
        <v/>
      </c>
      <c r="R16" s="92" t="str">
        <f>IF(Q16="ja",MIN(M16:N16),"")</f>
        <v/>
      </c>
      <c r="S16" s="98" t="str">
        <f>IF(Q16="ja",IF(COUNT(M16:N16)=0,"",AVERAGE(M16:N16)),"")</f>
        <v/>
      </c>
      <c r="T16" s="99" t="str">
        <f>IF(Q16="ja",IF(COUNT(M16:N16)&lt;2,MIN(M16:N16),(SUM(M16:N16)-MIN(M16:N16))/(COUNT(M16:N16)-1)),"")</f>
        <v/>
      </c>
      <c r="U16" s="99"/>
      <c r="V16" s="99"/>
      <c r="W16" s="99" t="str">
        <f>IF(U16="",S16,U16)</f>
        <v/>
      </c>
      <c r="X16" s="99" t="str">
        <f t="shared" ref="X16:X17" si="226">IF(V16="",T16,V16)</f>
        <v/>
      </c>
      <c r="Y16" s="99" t="str">
        <f t="shared" ref="Y16:Y17" si="227">IF(OR(W16="",X16=""),"",W16-X16)</f>
        <v/>
      </c>
      <c r="Z16" s="101" t="str">
        <f>IF(Q16="ja",_xlfn.RANK.EQ(R16,$R$7:$R$17,1),"")</f>
        <v/>
      </c>
      <c r="AA16" s="78" t="str">
        <f t="shared" si="78"/>
        <v/>
      </c>
      <c r="AB16" s="78" t="str">
        <f t="shared" si="79"/>
        <v/>
      </c>
      <c r="AC16" s="78" t="str">
        <f t="shared" si="80"/>
        <v/>
      </c>
      <c r="AD16" s="78" t="str">
        <f t="shared" si="81"/>
        <v/>
      </c>
      <c r="AE16" s="78" t="str">
        <f t="shared" si="82"/>
        <v/>
      </c>
      <c r="AF16" s="78" t="str">
        <f>IF(AE16="","",INDEX(Noten_tab[],MATCH(AE16,Noten_tab[Punkte],0),2))</f>
        <v/>
      </c>
      <c r="AG16" s="110" t="str">
        <f>IF(Q16="nein","",IF(Q16="ja",IF($C16="nein",10000+(Z16+5),""),""))</f>
        <v/>
      </c>
      <c r="AH16" s="31" t="str">
        <f>IF(Q16="nein","",IF(Q16="ja",IF($C16="aut.",(Z16*300),""),""))</f>
        <v/>
      </c>
      <c r="AI16" s="31" t="str">
        <f>IF(Q16="nein","",IFERROR(IF($AF$22&gt;2,IF(Q16="","",IF(Q16="ja",IF(AND($C16="aut.",W16&lt;3.5,X16&gt;=3.5),200,IF(AND($C16="nein",W16&lt;3.5,X16&gt;=3.5),5000,IF(AND($C16="ja",W16&lt;3.5,X16&gt;=3.5),Z16,""))))),
IF(AND($BC$52=390,$AF$22=2,$AF$28&lt;156),IF(Q16="","",IF(Q16="ja",IF(AND($C16="aut.",W16&lt;3.5,X16&gt;=3.5),200,IF(AND($C16="nein",W16&lt;3.5,X16&gt;=3.5),5000,IF(AND($C16="ja",W16&lt;3.5,X16&gt;=3.5),Z16,""))))),
IF(AND($BC$52=390,$AF$22=1,$AF$28&lt;130),IF(Q16="","",IF(Q16="ja",IF(AND($C16="aut.",W16&lt;3.5,X16&gt;=3.5),200,IF(AND($C16="nein",W16&lt;3.5,X16&gt;=3.5),5000,IF(AND($C16="ja",W16&lt;3.5,X16&gt;=3.5),Z16,""))))),
IF(AND($BC$52=420,$AF$22=2,$AF$28&lt;168),IF(Q16="","",IF(Q16="ja",IF(AND($C16="aut.",W16&lt;3.5,X16&gt;=3.5),200,IF(AND($C16="nein",W16&lt;3.5,X16&gt;=3.5),5000,IF(AND($C16="ja",W16&lt;3.5,X16&gt;=3.5),Z16,""))))),
IF(AND($BC$52=420,$AF$22=1,$AF$28&lt;140),IF(Q16="","",IF(Q16="ja",IF(AND($C16="aut.",W16&lt;3.5,X16&gt;=3.5),200,IF(AND($C16="nein",W16&lt;3.5,X16&gt;=3.5),5000,IF(AND($C16="ja",W16&lt;3.5,X16&gt;=3.5),Z16,""))))),""))))),""))</f>
        <v/>
      </c>
      <c r="AJ16" s="111" t="str">
        <f>IF(Q16="nein","",IF(Q16="ja",IF($C16="ja",50+Z16,""),""))</f>
        <v/>
      </c>
      <c r="AK16" s="108" t="str">
        <f>IF(Q16="nein","",IF(Q16="","",IF(Q16="ja",IF(AND(D16="",E16=""),"",MIN(AG16:AJ16)),"")))</f>
        <v/>
      </c>
      <c r="AL16" s="118" t="str">
        <f t="shared" ref="AL16:AL17" si="228">IF(AK16="","",AK16+((15+Y16)/100)+(W16/100000)+(X16/100000000)+(ROW(AK16)/100000000000))</f>
        <v/>
      </c>
      <c r="AM16" s="110" t="str">
        <f t="shared" ref="AM16:AM17" si="229">IF(AK16="","",IF($Q$20=0,"",""))</f>
        <v/>
      </c>
      <c r="AN16" s="78" t="str">
        <f t="shared" ref="AN16:AN17" si="230">IF(AK16="","",IF($Q$20=1,IF(AL16=SMALL($AL$7:$AL$17,1),1,IF(AL16=SMALL($AL$7:$AL$17,2),2,"")),""))</f>
        <v/>
      </c>
      <c r="AO16" s="111" t="str">
        <f t="shared" ref="AO16:AO17" si="231">IF(AK16="","",IF($Q$20=2,IF(AL16=SMALL($AL$7:$AL$17,1),1,IF(AL16=SMALL($AL$7:$AL$17,2),2,IF(AL16=SMALL($AL$7:$AL$17,3),3,IF(AL16=SMALL($AL$7:$AL$17,4),4,"")))),""))</f>
        <v/>
      </c>
      <c r="AP16" s="92" t="str">
        <f t="shared" si="4"/>
        <v/>
      </c>
      <c r="AQ16" s="108" t="str">
        <f>IF(Q16="ja",IF(D16="","",_xlfn.RANK.EQ(M16,$M16:$N16,1)+COLUMN(D16)/100),"")</f>
        <v/>
      </c>
      <c r="AR16" s="109" t="str">
        <f>IF(Q16="ja",IF(E16="","",_xlfn.RANK.EQ(N16,$M16:$N16,1)+COLUMN(E16)/100),"")</f>
        <v/>
      </c>
      <c r="AS16" s="91" t="str">
        <f>IF($BE$22&gt;16,"ja","nein")</f>
        <v>ja</v>
      </c>
      <c r="AT16" s="108" t="str">
        <f>IF(Q16="ja",IF(AS16="nein","",IF($AP16="","",IF(AQ16=MIN($AQ16:$AR16),"aus",""))),IF(Q16="nein","n.ef.",""))</f>
        <v/>
      </c>
      <c r="AU16" s="109" t="str">
        <f>IF(Q16="ja",IF(AS16="nein","",IF($AP16="","",IF(AR16=MIN($AQ16:$AR16),"aus",""))),IF(Q16="nein","n.ef.",""))</f>
        <v/>
      </c>
      <c r="AV16" s="77"/>
      <c r="AW16" s="110" t="str">
        <f>IF($AT16="n.ef.","",IF(LEFT(BC16,1)="(","",BC16))</f>
        <v/>
      </c>
      <c r="AX16" s="78" t="str">
        <f>IF($AU16="n.ef.","",IF(LEFT(BD16,1)="(","",BD16))</f>
        <v/>
      </c>
      <c r="AY16" s="78">
        <f>SUM(AW16:AX16)</f>
        <v>0</v>
      </c>
      <c r="AZ16" s="111">
        <f>COUNT(AW16:AX16)</f>
        <v>0</v>
      </c>
      <c r="BA16" s="77"/>
      <c r="BB16" s="11" t="str">
        <f t="shared" si="7"/>
        <v>Wahlpflichtfach 1 auswählen</v>
      </c>
      <c r="BC16" s="22" t="str">
        <f>IF($B$20="Bitte klicken zum Auswählen","",IF(D16="","",IF(AT16="aus",CONCATENATE("( ",D16," )"),D16)))</f>
        <v/>
      </c>
      <c r="BD16" s="22" t="str">
        <f>IF($B$20="Bitte klicken zum Auswählen","",IF(E16="","",IF(AU16="aus",CONCATENATE("( ",E16," )"),E16)))</f>
        <v/>
      </c>
      <c r="BE16" s="10"/>
      <c r="BF16" s="20"/>
      <c r="BG16" s="136"/>
      <c r="BH16" s="274" t="str">
        <f>IF(AND(D16="",E16=""),"",IF(Q16="nein",SUM(D16:E16)/COUNT(D16:E16),IF(AZ16=0,"",ROUND((AY16/AZ16),2))))</f>
        <v/>
      </c>
      <c r="BI16" s="274"/>
      <c r="BJ16" s="275" t="str">
        <f t="shared" si="213"/>
        <v/>
      </c>
      <c r="BK16" s="275"/>
      <c r="BL16" s="168" t="str">
        <f>IF(BH16="","",INDEX(Noten_tab[],MATCH(BJ16,Noten_tab[Punkte],0),2))</f>
        <v/>
      </c>
      <c r="BM16" s="5" t="str">
        <f t="shared" si="9"/>
        <v/>
      </c>
      <c r="BN16" s="78"/>
      <c r="BO16" s="10"/>
      <c r="BP16" s="143" t="str">
        <f>IF(Q16="","",IF(Q16="ja",IF(AND($B$22="Belegung als Wahlpflichtfach (in Jgst. 13)",(OR(B16="Spanisch",B16="Französisch",B16="Spanisch fortgeführt",B16="Französisch fortgeführt"))),20,MIN(M16:N16)),""))</f>
        <v/>
      </c>
      <c r="BQ16" s="99" t="str">
        <f>IF(Q16="ja",IF(COUNT(M16:N16)=0,"",AVERAGE(M16:N16)),"")</f>
        <v/>
      </c>
      <c r="BR16" s="99" t="str">
        <f>IF(Q16="ja",IF(COUNT(M16:N16)&lt;2,MIN(M16:N16),(SUM(M16:N16)-MIN(M16:N16))/(COUNT(M16:N16)-1)),"")</f>
        <v/>
      </c>
      <c r="BS16" s="99"/>
      <c r="BT16" s="99"/>
      <c r="BU16" s="99" t="str">
        <f>IF(BS16="",BQ16,BS16)</f>
        <v/>
      </c>
      <c r="BV16" s="99" t="str">
        <f t="shared" ref="BV16:BV17" si="232">IF(BT16="",BR16,BT16)</f>
        <v/>
      </c>
      <c r="BW16" s="99" t="str">
        <f t="shared" ref="BW16:BW17" si="233">IF(OR(BU16="",BV16=""),"",BU16-BV16)</f>
        <v/>
      </c>
      <c r="BX16" s="101" t="str">
        <f>IF(Q16="ja",_xlfn.RANK.EQ(BP16,$BP$7:$BP$17,1),"")</f>
        <v/>
      </c>
      <c r="BY16" s="110" t="str">
        <f>IF(Q16="nein","",IF(Q16="ja",IF($C16="nein",10000+(BX16+5),""),""))</f>
        <v/>
      </c>
      <c r="BZ16" s="31" t="str">
        <f>IF(Q16="nein","",IF(Q16="ja",IF($C16="aut.",(BX16*300),""),""))</f>
        <v/>
      </c>
      <c r="CA16" s="31" t="str">
        <f>IF(Q16="nein","",IFERROR(IF($AF$22&gt;2,IF(Q16="","",IF(Q16="ja",IF(AND($B$22="Belegung als Wahlpflichtfach (in Jgst. 13)",(OR(B16="Spanisch",B16="Französisch",B16="Spanisch fortgeführt",B16="Französisch fortgeführt"))),20000,IF(AND($C16="aut.",BU16&lt;3.5,BV16&gt;=3.5),200,IF(AND($C16="nein",BU16&lt;3.5,BV16&gt;=3.5),5000,IF(AND($C16="ja",BU16&lt;3.5,BV16&gt;=3.5),BX16,"")))))),
IF(AND($BC$52=390,$AF$22=2,$AF$28&lt;156),IF(Q16="","",IF(Q16="ja",IF(AND($B$22="Belegung als Wahlpflichtfach (in Jgst. 13)",(OR(B16="Spanisch",B16="Französisch",B16="Spanisch fortgeführt",B16="Französisch fortgeführt"))),20000,IF(AND($C16="aut.",BU16&lt;3.5,BV16&gt;=3.5),200,IF(AND($C16="nein",BU16&lt;3.5,BV16&gt;=3.5),5000,IF(AND($C16="ja",BU16&lt;3.5,BV16&gt;=3.5),BX16,"")))))),
IF(AND($BC$52=390,$AF$22=1,$AF$28&lt;130),IF(Q16="","",IF(Q16="ja",IF(AND($B$22="Belegung als Wahlpflichtfach (in Jgst. 13)",(OR(B16="Spanisch",B16="Französisch",B16="Spanisch fortgeführt",B16="Französisch fortgeführt"))),20000,IF(AND($C16="aut.",BU16&lt;3.5,BV16&gt;=3.5),200,IF(AND($C16="nein",BU16&lt;3.5,BV16&gt;=3.5),5000,IF(AND($C16="ja",BU16&lt;3.5,BV16&gt;=3.5),BX16,"")))))),
IF(AND($BC$52=420,$AF$22=2,$AF$28&lt;168),IF(Q16="","",IF(Q16="ja",IF(AND($B$22="Belegung als Wahlpflichtfach (in Jgst. 13)",(OR(B16="Spanisch",B16="Französisch",B16="Spanisch fortgeführt",B16="Französisch fortgeführt"))),20000,IF(AND($C16="aut.",BU16&lt;3.5,BV16&gt;=3.5),200,IF(AND($C16="nein",BU16&lt;3.5,BV16&gt;=3.5),5000,IF(AND($C16="ja",BU16&lt;3.5,BV16&gt;=3.5),BX16,"")))))),
IF(AND($BC$52=420,$AF$22=1,$AF$28&lt;140),IF(Q16="","",IF(Q16="ja",IF(AND($B$22="Belegung als Wahlpflichtfach (in Jgst. 13)",(OR(B16="Spanisch",B16="Französisch",B16="Spanisch fortgeführt",B16="Französisch fortgeführt"))),20000,IF(AND($C16="aut.",BU16&lt;3.5,BV16&gt;=3.5),200,IF(AND($C16="nein",BU16&lt;3.5,BV16&gt;=3.5),5000,IF(AND($C16="ja",BU16&lt;3.5,BV16&gt;=3.5),BX16,"")))))),""))))),""))</f>
        <v/>
      </c>
      <c r="CB16" s="111" t="str">
        <f>IF(Q16="nein","",IF(Q16="ja",IF($C16="ja",50+BX16,""),""))</f>
        <v/>
      </c>
      <c r="CC16" s="108" t="str">
        <f>IF(Q16="","",IF(Q16="ja",IF(AND(D16="",E16=""),"",MIN(BY16:CB16)),""))</f>
        <v/>
      </c>
      <c r="CD16" s="118" t="str">
        <f>IF(Q16="ja",IF(CC16="","",CC16+((15+BW16)/100)+(BU16/100000)+(BV16/100000000)+(ROW(CC16)/100000000000)),"")</f>
        <v/>
      </c>
      <c r="CE16" s="110" t="str">
        <f t="shared" ref="CE16:CE17" si="234">IF(CC16="","",IF($Q$20=0,"",""))</f>
        <v/>
      </c>
      <c r="CF16" s="78" t="str">
        <f>IF(CC16="","",IF($Q$20=1,IF(CD16=SMALL($CD$7:$CD$17,1),1,IF(CD16=SMALL($CD$7:$CD$17,2),2,"")),""))</f>
        <v/>
      </c>
      <c r="CG16" s="111" t="str">
        <f>IF(CC16="","",IF($Q$20=2,IF(CD16=SMALL($CD$7:$CD$17,1),1,IF(CD16=SMALL($CD$7:$CD$17,2),2,IF(CD16=SMALL($CD$7:$CD$17,3),3,IF(CD16=SMALL($CD$7:$CD$17,4),4,"")))),""))</f>
        <v/>
      </c>
      <c r="CH16" s="92" t="str">
        <f t="shared" ref="CH16:CH17" si="235">IF(MAX(CE16:CG16)=0,"",MAX(CE16:CG16))</f>
        <v/>
      </c>
      <c r="CI16" s="108" t="str">
        <f>IF(Q16="ja",IF(D16="","",_xlfn.RANK.EQ(M16,$M16:$N16,1)+COLUMN(D16)/100),"")</f>
        <v/>
      </c>
      <c r="CJ16" s="109" t="str">
        <f>IF(Q16="ja",IF(E16="","",_xlfn.RANK.EQ(N16,$M16:$N16,1)+COLUMN(E16)/100),"")</f>
        <v/>
      </c>
      <c r="CK16" s="91" t="str">
        <f t="shared" ref="CK16:CK17" si="236">IF($CW$22&gt;16,"ja","nein")</f>
        <v>ja</v>
      </c>
      <c r="CL16" s="108" t="str">
        <f>IF(Q16="ja",IF(CK16="nein","",IF($CH16="","",IF(CI16=MIN($CI16:$CJ16),"aus",""))),IF(Q16="nein","n.ef.",""))</f>
        <v/>
      </c>
      <c r="CM16" s="109" t="str">
        <f>IF(Q16="ja",IF(CK16="nein","",IF($CH16="","",IF(CJ16=MIN($CI16:$CJ16),"aus",""))),IF(Q16="nein","n.ef.",""))</f>
        <v/>
      </c>
      <c r="CN16" s="77"/>
      <c r="CO16" s="110" t="str">
        <f>IF($CL16="n.ef.","",IF(LEFT(CU16,1)="(","",CU16))</f>
        <v/>
      </c>
      <c r="CP16" s="78" t="str">
        <f>IF($CM16="n.ef.","",IF(LEFT(CV16,1)="(","",CV16))</f>
        <v/>
      </c>
      <c r="CQ16" s="78">
        <f>SUM(CO16:CP16)</f>
        <v>0</v>
      </c>
      <c r="CR16" s="111">
        <f>COUNT(CO16:CP16)</f>
        <v>0</v>
      </c>
      <c r="CT16" s="84" t="str">
        <f t="shared" si="103"/>
        <v>Wahlpflichtfach 1 auswählen</v>
      </c>
      <c r="CU16" s="22" t="str">
        <f>IF(AND($B$20="Allgemeine Hochschulreife",$B$22="Bitte klicken zum Auswählen"),"",IF(AND($B$20="Allgemeine Hochschulreife",$B$22&lt;&gt;"Ausgewiesenes Sprachniveau B1 durch andere Schule"),IF(D16="","",IF(CL16="aus",CONCATENATE("( ",D16," )"),D16)),""))</f>
        <v/>
      </c>
      <c r="CV16" s="22" t="str">
        <f>IF(AND($B$20="Allgemeine Hochschulreife",$B$22="Bitte klicken zum Auswählen"),"",IF(AND($B$20="Allgemeine Hochschulreife",$B$22&lt;&gt;"Ausgewiesenes Sprachniveau B1 durch andere Schule"),IF(E16="","",IF(CM16="aus",CONCATENATE("( ",E16," )"),E16)),""))</f>
        <v/>
      </c>
      <c r="CW16" s="10"/>
      <c r="CY16" s="134"/>
      <c r="CZ16" s="274" t="str">
        <f>IF(AND(D16="",E16=""),"",IF(Q16="nein",SUM(D16:E16)/COUNT(D16:E16),IF(CR16=0,"",ROUND((CQ16/CR16),2))))</f>
        <v/>
      </c>
      <c r="DA16" s="274"/>
      <c r="DB16" s="275" t="str">
        <f t="shared" si="104"/>
        <v/>
      </c>
      <c r="DC16" s="275"/>
      <c r="DD16" s="168" t="str">
        <f>IF(CZ16="","",INDEX(Noten_tab[],MATCH(DB16,Noten_tab[Punkte],0),2))</f>
        <v/>
      </c>
      <c r="DE16" s="5" t="str">
        <f t="shared" si="23"/>
        <v/>
      </c>
      <c r="DF16" s="52" t="str">
        <f>IF(AND(BP16=20,DD16&lt;4),"Das Ergebnis bestätigt die zweite Fremdsprache nicht.","")</f>
        <v/>
      </c>
      <c r="DH16" s="219" t="str">
        <f>IF(W16="","",IF(W16&lt;1,0,ROUND(W16,0)))</f>
        <v/>
      </c>
      <c r="DI16" s="220" t="str">
        <f>IF(X16="","",IF(X16&lt;1,0,ROUND(X16,0)))</f>
        <v/>
      </c>
      <c r="DJ16" s="220" t="str">
        <f>IF(DH16="","",INDEX(Noten_tab[],MATCH(DH16,Noten_tab[Punkte],0),3))</f>
        <v/>
      </c>
      <c r="DK16" s="220" t="str">
        <f>IF(DI16="","",INDEX(Noten_tab[],MATCH(DI16,Noten_tab[Punkte],0),3))</f>
        <v/>
      </c>
      <c r="DL16" s="220" t="str">
        <f>IF(OR(AT16="aus",AU16="aus"),"",IF(DJ16&gt;DK16,"Verbesserung",""))</f>
        <v/>
      </c>
      <c r="DM16" s="220" t="str">
        <f t="shared" si="105"/>
        <v/>
      </c>
      <c r="DN16" s="220" t="str">
        <f>IF(OR(AT16="aus",AU16="aus"),IF(DJ16&lt;=DK16,"keine Verschlechterung",""),"")</f>
        <v/>
      </c>
      <c r="DO16" s="220" t="str">
        <f>IF(R16="","",IF(AND(DL16="",DN16=""),"",R16))</f>
        <v/>
      </c>
      <c r="DP16" s="221" t="str">
        <f>IFERROR(IF(DO16="","",$BE$27-INDEX(Schnitt_von_bis_390_tab[],MATCH($BE$28,Schnitt_von_bis_390_tab[Schnitt],0),3)),"")</f>
        <v/>
      </c>
      <c r="DQ16" s="222" t="str">
        <f t="shared" si="106"/>
        <v/>
      </c>
      <c r="DR16" s="223" t="str">
        <f t="shared" si="107"/>
        <v/>
      </c>
      <c r="DS16" s="224" t="str">
        <f t="shared" si="108"/>
        <v/>
      </c>
      <c r="DT16" s="225" t="str">
        <f t="shared" si="109"/>
        <v/>
      </c>
      <c r="DU16" s="226" t="str">
        <f t="shared" si="110"/>
        <v/>
      </c>
      <c r="DV16" s="227" t="str">
        <f t="shared" si="111"/>
        <v/>
      </c>
      <c r="DW16" s="220" t="str">
        <f t="shared" si="112"/>
        <v/>
      </c>
      <c r="DX16" s="220" t="str">
        <f t="shared" si="113"/>
        <v/>
      </c>
      <c r="DY16" s="224" t="str">
        <f t="shared" si="114"/>
        <v/>
      </c>
      <c r="DZ16" s="220" t="str">
        <f t="shared" si="115"/>
        <v/>
      </c>
      <c r="EA16" s="224" t="str">
        <f t="shared" si="116"/>
        <v/>
      </c>
      <c r="EB16" s="220" t="str">
        <f t="shared" si="117"/>
        <v/>
      </c>
      <c r="EC16" s="224" t="str">
        <f t="shared" si="118"/>
        <v/>
      </c>
      <c r="ED16" s="220" t="str">
        <f t="shared" si="119"/>
        <v/>
      </c>
      <c r="EE16" s="224" t="str">
        <f t="shared" si="120"/>
        <v/>
      </c>
      <c r="EF16" s="228" t="str">
        <f t="shared" si="121"/>
        <v/>
      </c>
      <c r="EG16" s="220" t="str">
        <f t="shared" si="122"/>
        <v/>
      </c>
      <c r="EH16" s="220" t="str">
        <f t="shared" si="123"/>
        <v/>
      </c>
      <c r="EI16" s="220" t="str">
        <f t="shared" si="124"/>
        <v/>
      </c>
      <c r="EJ16" s="220" t="str">
        <f t="shared" si="125"/>
        <v/>
      </c>
      <c r="EK16" s="220" t="str">
        <f t="shared" si="126"/>
        <v/>
      </c>
      <c r="EL16" s="224" t="str">
        <f t="shared" si="127"/>
        <v/>
      </c>
      <c r="EM16" s="225" t="str">
        <f t="shared" si="128"/>
        <v/>
      </c>
      <c r="EN16" s="225" t="str">
        <f t="shared" si="129"/>
        <v/>
      </c>
      <c r="EO16" s="225" t="str">
        <f t="shared" si="130"/>
        <v/>
      </c>
      <c r="EP16" s="226" t="str">
        <f t="shared" si="131"/>
        <v/>
      </c>
      <c r="EQ16" s="220" t="str">
        <f t="shared" si="132"/>
        <v/>
      </c>
      <c r="ER16" s="220" t="str">
        <f t="shared" si="133"/>
        <v/>
      </c>
      <c r="ES16" s="220" t="str">
        <f t="shared" si="134"/>
        <v/>
      </c>
      <c r="ET16" s="220" t="str">
        <f t="shared" si="135"/>
        <v/>
      </c>
      <c r="EU16" s="220" t="str">
        <f t="shared" si="136"/>
        <v/>
      </c>
      <c r="EV16" s="224" t="str">
        <f t="shared" si="137"/>
        <v/>
      </c>
      <c r="EW16" s="225" t="str">
        <f t="shared" si="138"/>
        <v/>
      </c>
      <c r="EX16" s="225" t="str">
        <f t="shared" si="139"/>
        <v/>
      </c>
      <c r="EY16" s="225" t="str">
        <f t="shared" si="140"/>
        <v/>
      </c>
      <c r="EZ16" s="226" t="str">
        <f t="shared" si="141"/>
        <v/>
      </c>
      <c r="FA16" s="220" t="str">
        <f t="shared" si="142"/>
        <v/>
      </c>
      <c r="FB16" s="220" t="str">
        <f t="shared" si="143"/>
        <v/>
      </c>
      <c r="FC16" s="220" t="str">
        <f t="shared" si="144"/>
        <v/>
      </c>
      <c r="FD16" s="220" t="str">
        <f t="shared" si="145"/>
        <v/>
      </c>
      <c r="FE16" s="220" t="str">
        <f t="shared" si="146"/>
        <v/>
      </c>
      <c r="FF16" s="219" t="str">
        <f t="shared" si="147"/>
        <v/>
      </c>
      <c r="FG16" s="220" t="str">
        <f t="shared" si="148"/>
        <v/>
      </c>
      <c r="FH16" s="220" t="str">
        <f t="shared" si="149"/>
        <v/>
      </c>
      <c r="FI16" s="220" t="str">
        <f t="shared" si="150"/>
        <v/>
      </c>
      <c r="FJ16" s="225" t="str">
        <f t="shared" si="151"/>
        <v/>
      </c>
      <c r="FK16" s="219" t="str">
        <f t="shared" si="152"/>
        <v/>
      </c>
      <c r="FL16" s="225" t="str">
        <f t="shared" si="153"/>
        <v/>
      </c>
      <c r="FM16" s="225" t="str">
        <f t="shared" si="154"/>
        <v/>
      </c>
      <c r="FN16" s="225" t="str">
        <f t="shared" si="155"/>
        <v/>
      </c>
      <c r="FO16" s="225" t="str">
        <f t="shared" si="156"/>
        <v/>
      </c>
      <c r="FP16" s="219" t="str">
        <f>IF(Q16="nein","",IF(Q16="","",IF(Q16="ja",IF(C16="nein",10000+(Z16*5),""))))</f>
        <v/>
      </c>
      <c r="FQ16" s="220" t="str">
        <f>IF(Q16="nein","",IF(Q16="","",IF(Q16="ja",IF(OR(FK16="vorschlagen",FL16="vorschlagen",FM16="vorschlagen",FN16="vorschlagen",FO16="vorschlagen"),"",IF(C16="aut.",(Z16*300),"")))))</f>
        <v/>
      </c>
      <c r="FR16" s="220" t="str">
        <f>IF(Q16="nein","",IFERROR(IF($AF$22&gt;2,IF(Q16="","",IF(Q16="ja",IF(AND($C16="aut.",W16&lt;3.5,X16&gt;=3.5),200,IF(AND($C16="nein",W16&lt;3.5,X16&gt;=3.5),5000,IF(AND($C16="ja",W16&lt;3.5,X16&gt;=3.5),Z16,""))))),
IF(AND($BC$52=390,$AF$22=2,$AF$28&lt;156),IF(Q16="","",IF(Q16="ja",IF(AND($C16="aut.",W16&lt;3.5,X16&gt;=3.5),200,IF(AND($C16="nein",W16&lt;3.5,X16&gt;=3.5),5000,IF(AND($C16="ja",W16&lt;3.5,X16&gt;=3.5),Z16,""))))),
IF(AND($BC$52=390,$AF$22=1,$AF$28&lt;130),IF(Q16="","",IF(Q16="ja",IF(AND($C16="aut.",W16&lt;3.5,X16&gt;=3.5),200,IF(AND($C16="nein",W16&lt;3.5,X16&gt;=3.5),5000,IF(AND($C16="ja",W16&lt;3.5,X16&gt;=3.5),Z16,""))))),
IF(AND($BC$52=420,$AF$22=2,$AF$28&lt;168),IF(Q16="","",IF(Q16="ja",IF(AND($C16="aut.",W16&lt;3.5,X16&gt;=3.5),200,IF(AND($C16="nein",W16&lt;3.5,X16&gt;=3.5),5000,IF(AND($C16="ja",W16&lt;3.5,X16&gt;=3.5),Z16,""))))),
IF(AND($BC$52=420,$AF$22=1,$AF$28&lt;140),IF(Q16="","",IF(Q16="ja",IF(AND($C16="aut.",W16&lt;3.5,X16&gt;=3.5),200,IF(AND($C16="nein",W16&lt;3.5,X16&gt;=3.5),5000,IF(AND($C16="ja",W16&lt;3.5,X16&gt;=3.5),Z16,""))))),""))))),""))</f>
        <v/>
      </c>
      <c r="FS16" s="220" t="str">
        <f>IF(Q16="nein","",IF(Q16="","",IF(Q16="ja",IF(AND(DL16&lt;&gt;"",OR(FF16&lt;&gt;"",FG16&lt;&gt;"",FH16&lt;&gt;"",FI16&lt;&gt;"",FJ16&lt;&gt;"")),25,IF(AND(DN16&lt;&gt;"",OR(FF16&lt;&gt;"",FG16&lt;&gt;"",FH16&lt;&gt;"",FI16&lt;&gt;"",FJ16&lt;&gt;"")),8000,"")))))</f>
        <v/>
      </c>
      <c r="FT16" s="228" t="str">
        <f>IF(Q16="nein","",IF(Q16="","",IF(Q16="ja",IF(C16="ja",50+Z16,""))))</f>
        <v/>
      </c>
      <c r="FU16" s="220" t="str">
        <f>IF(Q16="nein","",IF(Q16="","",IF(Q16="ja",IF(AND(D16="",E16=""),"",MIN(FP16:FT16)))))</f>
        <v/>
      </c>
      <c r="FV16" s="229" t="str">
        <f>IFERROR(IF(FU16="","",FU16+((15+Y16)/100)+(W16/100000)+(X16/100000000)+(ROW(FU16)/100000000000)),"")</f>
        <v/>
      </c>
      <c r="FW16" s="219" t="str">
        <f t="shared" si="157"/>
        <v/>
      </c>
      <c r="FX16" s="220" t="str">
        <f>IF(FU16="","",IF($Q$20=1,IF(FV16=SMALL($FV$7:$FV$17,1),1,IF(FV16=SMALL($FV$7:$FV$17,2),2,"")),""))</f>
        <v/>
      </c>
      <c r="FY16" s="228" t="str">
        <f>IF(FU16="","",IF($Q$20=2,IF(FV16=SMALL($FV$7:$FV$18,1),1,IF(FV16=SMALL($FV$7:$FV$18,2),2,IF(FV16=SMALL($FV$7:$FV$18,3),3,IF(FV16=SMALL($FV$7:$FV$18,4),4,"")))),""))</f>
        <v/>
      </c>
      <c r="FZ16" s="230" t="str">
        <f t="shared" si="37"/>
        <v/>
      </c>
      <c r="GA16" s="231" t="str">
        <f>IF(D16="","",_xlfn.RANK.EQ(M16,$M16:$N16,1)+COLUMN(D16)/100)</f>
        <v/>
      </c>
      <c r="GB16" s="232" t="str">
        <f>IF(E16="","",_xlfn.RANK.EQ(N16,$M16:$N16,1)+COLUMN(E16)/100)</f>
        <v/>
      </c>
      <c r="GC16" s="233" t="str">
        <f t="shared" si="158"/>
        <v>ja</v>
      </c>
      <c r="GD16" s="231" t="str">
        <f>IF(Q16="ja",IF(GC16="nein","",IF($FZ16="","",IF(GA16=MIN($GA16:$GB16),"aus",""))),IF(Q16="nein","n.ef.",""))</f>
        <v/>
      </c>
      <c r="GE16" s="232" t="str">
        <f>IF(Q16="ja",IF(GC16="nein","",IF($FZ16="","",IF(GB16=MIN($GA16:$GB16),"aus",""))),IF(Q16="nein","n.ef.",""))</f>
        <v/>
      </c>
      <c r="GG16" s="110" t="str">
        <f>IF($GD16="n.ef.","",IF(LEFT(GM16,1)="(","",GM16))</f>
        <v/>
      </c>
      <c r="GH16" s="78" t="str">
        <f>IF($GE16="n.ef.","",IF(LEFT(GN16,1)="(","",GN16))</f>
        <v/>
      </c>
      <c r="GI16" s="78">
        <f>SUM(GG16:GH16)</f>
        <v>0</v>
      </c>
      <c r="GJ16" s="111">
        <f>COUNT(GG16:GH16)</f>
        <v>0</v>
      </c>
      <c r="GK16" s="77"/>
      <c r="GL16" s="11" t="str">
        <f t="shared" si="41"/>
        <v>Wahlpflichtfach 1 auswählen</v>
      </c>
      <c r="GM16" s="22" t="str">
        <f>IF($B$20="Bitte klicken zum Auswählen","",IF(D16="","",IF(GD16="aus",CONCATENATE("( ",D16," )"),D16)))</f>
        <v/>
      </c>
      <c r="GN16" s="22" t="str">
        <f>IF($B$20="Bitte klicken zum Auswählen","",IF(E16="","",IF(GE16="aus",CONCATENATE("( ",E16," )"),E16)))</f>
        <v/>
      </c>
      <c r="GO16" s="10"/>
      <c r="GP16" s="20"/>
      <c r="GQ16" s="136"/>
      <c r="GR16" s="274" t="str">
        <f>IF(AND(D16="",E16=""),"",IF(Q16="nein",SUM(D16:E16)/COUNT(D16:E16),IF(GJ16=0,"",ROUND((GI16/GJ16),2))))</f>
        <v/>
      </c>
      <c r="GS16" s="274"/>
      <c r="GT16" s="275" t="str">
        <f t="shared" si="214"/>
        <v/>
      </c>
      <c r="GU16" s="275"/>
      <c r="GV16" s="168" t="str">
        <f>IF(GR16="","",INDEX(Noten_tab[],MATCH(GT16,Noten_tab[Punkte],0),2))</f>
        <v/>
      </c>
      <c r="GW16" s="5" t="str">
        <f t="shared" si="43"/>
        <v/>
      </c>
      <c r="GX16" s="76"/>
      <c r="GY16" s="219" t="str">
        <f>IF(BU16="","",IF(BU16&lt;1,0,ROUND(BU16,0)))</f>
        <v/>
      </c>
      <c r="GZ16" s="220" t="str">
        <f>IF(BV16="","",IF(BV16&lt;1,0,ROUND(BV16,0)))</f>
        <v/>
      </c>
      <c r="HA16" s="220" t="str">
        <f>IF(GY16="","",INDEX(Noten_tab[],MATCH(GY16,Noten_tab[Punkte],0),3))</f>
        <v/>
      </c>
      <c r="HB16" s="220" t="str">
        <f>IF(GZ16="","",INDEX(Noten_tab[],MATCH(GZ16,Noten_tab[Punkte],0),3))</f>
        <v/>
      </c>
      <c r="HC16" s="220" t="str">
        <f>IF(Q16="nein","",IF(Q16="","",IF(Q16="ja",IF(AND($B$22="Belegung als Wahlpflichtfach (in Jgst. 13)",(OR(B16="Spanisch",B16="Französisch",B16="Spanisch fortgeführt",B16="Französisch fortgeführt"))),"",IF(OR(CL16="aus",CM16="aus"),"",IF(HA16&gt;HB16,"Verbesserung",""))))))</f>
        <v/>
      </c>
      <c r="HD16" s="220" t="str">
        <f t="shared" si="46"/>
        <v/>
      </c>
      <c r="HE16" s="220" t="str">
        <f>IF(OR(CL16="aus",CM16="aus"),IF(HA16&lt;=HB16,"keine Verschlechterung",""),"")</f>
        <v/>
      </c>
      <c r="HF16" s="220" t="str">
        <f t="shared" si="48"/>
        <v/>
      </c>
      <c r="HG16" s="220" t="str">
        <f t="shared" si="162"/>
        <v/>
      </c>
      <c r="HH16" s="221" t="str">
        <f>IFERROR(IF(HF16="","",$CW$28-IF($CU$56=390,INDEX(Schnitt_von_bis_390_tab[],MATCH($CW$29,Schnitt_von_bis_390_tab[Schnitt],0),3),INDEX(Schnitt_von_bis_420_tab[],MATCH($CW$29,Schnitt_von_bis_420_tab[Schnitt],0),3))),"")</f>
        <v/>
      </c>
      <c r="HI16" s="234" t="str">
        <f>IF(HD16="","",_xlfn.RANK.EQ(HD16,$HD$7:$HD$17)+HF16/100+HB16/1000+(ROW(HD16)/10000000))</f>
        <v/>
      </c>
      <c r="HJ16" s="235" t="str">
        <f>IF(HE16="","",_xlfn.RANK.EQ(HF16,$HF$7:$HF$17)+HA16/10+(ROW(HF16)/10000000))</f>
        <v/>
      </c>
      <c r="HK16" s="225" t="str">
        <f t="shared" si="163"/>
        <v/>
      </c>
      <c r="HL16" s="225" t="str">
        <f t="shared" si="164"/>
        <v/>
      </c>
      <c r="HM16" s="226" t="str">
        <f>IFERROR(IF(HF16="","",$CW$28-HL16),"")</f>
        <v/>
      </c>
      <c r="HN16" s="227" t="str">
        <f t="shared" si="165"/>
        <v/>
      </c>
      <c r="HO16" s="220" t="str">
        <f t="shared" si="166"/>
        <v/>
      </c>
      <c r="HP16" s="220" t="str">
        <f t="shared" si="167"/>
        <v/>
      </c>
      <c r="HQ16" s="224" t="str">
        <f t="shared" si="168"/>
        <v/>
      </c>
      <c r="HR16" s="220" t="str">
        <f t="shared" si="169"/>
        <v/>
      </c>
      <c r="HS16" s="224" t="str">
        <f t="shared" si="170"/>
        <v/>
      </c>
      <c r="HT16" s="220" t="str">
        <f t="shared" si="171"/>
        <v/>
      </c>
      <c r="HU16" s="224" t="str">
        <f t="shared" si="172"/>
        <v/>
      </c>
      <c r="HV16" s="220" t="str">
        <f t="shared" si="173"/>
        <v/>
      </c>
      <c r="HW16" s="224" t="str">
        <f t="shared" si="174"/>
        <v/>
      </c>
      <c r="HX16" s="228" t="str">
        <f t="shared" si="175"/>
        <v/>
      </c>
      <c r="HY16" s="220" t="str">
        <f t="shared" si="176"/>
        <v/>
      </c>
      <c r="HZ16" s="220" t="str">
        <f t="shared" si="177"/>
        <v/>
      </c>
      <c r="IA16" s="220" t="str">
        <f t="shared" si="178"/>
        <v/>
      </c>
      <c r="IB16" s="220" t="str">
        <f t="shared" si="179"/>
        <v/>
      </c>
      <c r="IC16" s="220" t="str">
        <f t="shared" si="180"/>
        <v/>
      </c>
      <c r="ID16" s="224" t="str">
        <f t="shared" si="181"/>
        <v/>
      </c>
      <c r="IE16" s="225" t="str">
        <f t="shared" si="182"/>
        <v/>
      </c>
      <c r="IF16" s="225" t="str">
        <f t="shared" si="183"/>
        <v/>
      </c>
      <c r="IG16" s="225" t="str">
        <f t="shared" si="184"/>
        <v/>
      </c>
      <c r="IH16" s="226" t="str">
        <f t="shared" si="185"/>
        <v/>
      </c>
      <c r="II16" s="220" t="str">
        <f t="shared" si="186"/>
        <v/>
      </c>
      <c r="IJ16" s="220" t="str">
        <f t="shared" si="187"/>
        <v/>
      </c>
      <c r="IK16" s="220" t="str">
        <f t="shared" si="188"/>
        <v/>
      </c>
      <c r="IL16" s="220" t="str">
        <f t="shared" si="189"/>
        <v/>
      </c>
      <c r="IM16" s="220" t="str">
        <f t="shared" si="190"/>
        <v/>
      </c>
      <c r="IN16" s="224" t="str">
        <f t="shared" si="191"/>
        <v/>
      </c>
      <c r="IO16" s="225" t="str">
        <f t="shared" si="192"/>
        <v/>
      </c>
      <c r="IP16" s="225" t="str">
        <f t="shared" si="193"/>
        <v/>
      </c>
      <c r="IQ16" s="225" t="str">
        <f t="shared" si="194"/>
        <v/>
      </c>
      <c r="IR16" s="226" t="str">
        <f t="shared" si="195"/>
        <v/>
      </c>
      <c r="IS16" s="220" t="str">
        <f t="shared" si="196"/>
        <v/>
      </c>
      <c r="IT16" s="220" t="str">
        <f t="shared" si="197"/>
        <v/>
      </c>
      <c r="IU16" s="220" t="str">
        <f t="shared" si="198"/>
        <v/>
      </c>
      <c r="IV16" s="220" t="str">
        <f t="shared" si="199"/>
        <v/>
      </c>
      <c r="IW16" s="220" t="str">
        <f t="shared" si="200"/>
        <v/>
      </c>
      <c r="IX16" s="219" t="str">
        <f t="shared" si="201"/>
        <v/>
      </c>
      <c r="IY16" s="220" t="str">
        <f t="shared" si="202"/>
        <v/>
      </c>
      <c r="IZ16" s="220" t="str">
        <f t="shared" si="203"/>
        <v/>
      </c>
      <c r="JA16" s="220" t="str">
        <f t="shared" si="204"/>
        <v/>
      </c>
      <c r="JB16" s="220" t="str">
        <f t="shared" si="205"/>
        <v/>
      </c>
      <c r="JC16" s="236" t="str">
        <f t="shared" si="206"/>
        <v/>
      </c>
      <c r="JD16" s="220" t="str">
        <f t="shared" si="207"/>
        <v/>
      </c>
      <c r="JE16" s="220" t="str">
        <f t="shared" si="208"/>
        <v/>
      </c>
      <c r="JF16" s="220" t="str">
        <f t="shared" si="209"/>
        <v/>
      </c>
      <c r="JG16" s="228" t="str">
        <f t="shared" si="210"/>
        <v/>
      </c>
      <c r="JH16" s="236" t="str">
        <f>IF(Q16="nein","",IF(Q16="","",IF(Q16="ja",IF(AND($B$22="Belegung als Wahlpflichtfach (in Jgst. 13)",(OR(B16="Spanisch",B16="Französisch",B16="Spanisch fortgeführt",B16="Französisch fortgeführt"))),20000,IF(C16="nein",10000+(Z16*5),"")))))</f>
        <v/>
      </c>
      <c r="JI16" s="220" t="str">
        <f>IF(Q16="nein","",IF(Q16="","",IF(Q16="ja",IF(AND($B$22="Belegung als Wahlpflichtfach (in Jgst. 13)",(OR(B16="Spanisch",B16="Französisch",B16="Spanisch fortgeführt",B16="Französisch fortgeführt"))),20000,IF(OR(JC16="vorschlagen",JD16="vorschlagen",JE16="vorschlagen",JF16="vorschlagen",JG16="vorschlagen"),"",IF(C16="aut.",(Z16*300),""))))))</f>
        <v/>
      </c>
      <c r="JJ16" s="220" t="str">
        <f>IF(Q16="nein","",IFERROR(IF($AF$22&gt;2,IF(Q16="","",IF(Q16="ja",IF(AND($B$22="Belegung als Wahlpflichtfach (in Jgst. 13)",(OR(B16="Spanisch",B16="Französisch",B16="Spanisch fortgeführt",B16="Französisch fortgeführt"))),20000,IF(AND($C16="aut.",BU16&lt;3.5,BV16&gt;=3.5),200,IF(AND($C16="nein",BU16&lt;3.5,BV16&gt;=3.5),5000,IF(AND($C16="ja",BU16&lt;3.5,BV16&gt;=3.5),BX16,"")))))),
IF(AND($BC$52=390,$AF$22=2,$AF$28&lt;156),IF(Q16="","",IF(Q16="ja",IF(AND($B$22="Belegung als Wahlpflichtfach (in Jgst. 13)",(OR(B16="Spanisch",B16="Französisch",B16="Spanisch fortgeführt",B16="Französisch fortgeführt"))),20000,IF(AND($C16="aut.",BU16&lt;3.5,BV16&gt;=3.5),200,IF(AND($C16="nein",BU16&lt;3.5,BV16&gt;=3.5),5000,IF(AND($C16="ja",BU16&lt;3.5,BV16&gt;=3.5),BX16,"")))))),
IF(AND($BC$52=390,$AF$22=1,$AF$28&lt;130),IF(Q16="","",IF(Q16="ja",IF(AND($B$22="Belegung als Wahlpflichtfach (in Jgst. 13)",(OR(B16="Spanisch",B16="Französisch",B16="Spanisch fortgeführt",B16="Französisch fortgeführt"))),20000,IF(AND($C16="aut.",BU16&lt;3.5,BV16&gt;=3.5),200,IF(AND($C16="nein",BU16&lt;3.5,BV16&gt;=3.5),5000,IF(AND($C16="ja",BU16&lt;3.5,BV16&gt;=3.5),BX16,"")))))),
IF(AND($BC$52=420,$AF$22=2,$AF$28&lt;168),IF(Q16="","",IF(Q16="ja",IF(AND($B$22="Belegung als Wahlpflichtfach (in Jgst. 13)",(OR(B16="Spanisch",B16="Französisch",B16="Spanisch fortgeführt",B16="Französisch fortgeführt"))),20000,IF(AND($C16="aut.",BU16&lt;3.5,BV16&gt;=3.5),200,IF(AND($C16="nein",BU16&lt;3.5,BV16&gt;=3.5),5000,IF(AND($C16="ja",BU16&lt;3.5,BV16&gt;=3.5),BX16,"")))))),
IF(AND($BC$52=420,$AF$22=1,$AF$28&lt;140),IF(Q16="","",IF(Q16="ja",IF(AND($B$22="Belegung als Wahlpflichtfach (in Jgst. 13)",(OR(B16="Spanisch",B16="Französisch",B16="Spanisch fortgeführt",B16="Französisch fortgeführt"))),20000,IF(AND($C16="aut.",BU16&lt;3.5,BV16&gt;=3.5),200,IF(AND($C16="nein",BU16&lt;3.5,BV16&gt;=3.5),5000,IF(AND($C16="ja",BU16&lt;3.5,BV16&gt;=3.5),BX16,"")))))),""))))),""))</f>
        <v/>
      </c>
      <c r="JK16" s="220" t="str">
        <f>IF(Q16="nein","",IF(Q16="","",IF(Q16="ja",IF(AND($B$22="Belegung als Wahlpflichtfach (in Jgst. 13)",(OR(B16="Spanisch",B16="Französisch",B16="Spanisch fortgeführt",B16="Französisch fortgeführt"))),20000,IF(AND(HC16&lt;&gt;"",OR(JC16&lt;&gt;"",JD16&lt;&gt;"",JE16&lt;&gt;"",JF16&lt;&gt;"",JG16&lt;&gt;"")),25,IF(AND(HE16&lt;&gt;"",OR(JC16&lt;&gt;"",JD16&lt;&gt;"",JE16&lt;&gt;"",JF16&lt;&gt;"",JG16&lt;&gt;"")),8000,""))))))</f>
        <v/>
      </c>
      <c r="JL16" s="228" t="str">
        <f>IF(Q16="nein","",IF(Q16="","",IF(Q16="ja",IF(AND($B$22="Belegung als Wahlpflichtfach (in Jgst. 13)",(OR(B16="Spanisch",B16="Französisch",B16="Spanisch fortgeführt",B16="Französisch fortgeführt"))),20000,IF(C16="ja",50+Z16,"")))))</f>
        <v/>
      </c>
      <c r="JM16" s="220" t="str">
        <f>IF(Q16="nein","",IF(Q16="","",IF(Q16="ja",IF(AND(D16="",E16=""),"",MIN(JH16:JL16)))))</f>
        <v/>
      </c>
      <c r="JN16" s="229" t="str">
        <f>IFERROR(IF(JM16="","",JM16+((15+BW16)/100)+(BU16/100000)+(BV16/100000000)+(ROW(JM16)/100000000000)),"")</f>
        <v/>
      </c>
      <c r="JO16" s="219" t="str">
        <f t="shared" ref="JO16:JO17" si="237">IF(JM16="","",IF($Q$20=0,"",""))</f>
        <v/>
      </c>
      <c r="JP16" s="220" t="str">
        <f>IF(JM16="","",IF($Q$20=1,IF(JN16=SMALL($JN$7:$JN$17,1),1,IF(JN16=SMALL($JN$7:$JN$17,2),2,"")),""))</f>
        <v/>
      </c>
      <c r="JQ16" s="228" t="str">
        <f>IF(JM16="","",IF($Q$20=2,IF(JN16=SMALL($JN$7:$JN$18,1),1,IF(JN16=SMALL($JN$7:$JN$18,2),2,IF(JN16=SMALL($JN$7:$JN$18,3),3,IF(JN16=SMALL($JN$7:$JN$18,4),4,"")))),""))</f>
        <v/>
      </c>
      <c r="JR16" s="230" t="str">
        <f t="shared" ref="JR16:JR17" si="238">IF(MAX(JO16:JQ16)=0,"",MAX(JO16:JQ16))</f>
        <v/>
      </c>
      <c r="JS16" s="231" t="str">
        <f>IF(D16="","",_xlfn.RANK.EQ(M16,$M16:$N16,1)+COLUMN(D16)/100)</f>
        <v/>
      </c>
      <c r="JT16" s="232" t="str">
        <f>IF(E16="","",_xlfn.RANK.EQ(N16,$M16:$N16,1)+COLUMN(E16)/100)</f>
        <v/>
      </c>
      <c r="JU16" s="233" t="str">
        <f>IF($CW$22&gt;16,"ja","nein")</f>
        <v>ja</v>
      </c>
      <c r="JV16" s="231" t="str">
        <f>IF(Q16="ja",IF(JU16="nein","",IF($JR16="","",IF(JS16=MIN($JS16:$JT16),"aus",""))),IF(Q16="nein","n.ef.",""))</f>
        <v/>
      </c>
      <c r="JW16" s="232" t="str">
        <f>IF(Q16="ja",IF(JU16="nein","",IF($JR16="","",IF(JT16=MIN($JS16:$JT16),"aus",""))),IF(Q16="nein","n.ef.",""))</f>
        <v/>
      </c>
      <c r="JY16" s="110" t="str">
        <f>IF($JV16="n.ef.","",IF(LEFT(KE16,1)="(","",KE16))</f>
        <v/>
      </c>
      <c r="JZ16" s="78" t="str">
        <f>IF($JW16="n.ef.","",IF(LEFT(KF16,1)="(","",KF16))</f>
        <v/>
      </c>
      <c r="KA16" s="78">
        <f>SUM(JY16:JZ16)</f>
        <v>0</v>
      </c>
      <c r="KB16" s="111">
        <f>COUNT(JY16:JZ16)</f>
        <v>0</v>
      </c>
      <c r="KD16" s="84" t="str">
        <f t="shared" si="69"/>
        <v>Wahlpflichtfach 1 auswählen</v>
      </c>
      <c r="KE16" s="22" t="str">
        <f>IF(AND($B$20="Allgemeine Hochschulreife",$B$22="Bitte klicken zum Auswählen"),"",IF(AND($B$20="Allgemeine Hochschulreife",$B$22&lt;&gt;"Ausgewiesenes Sprachniveau B1 durch andere Schule"),IF(D16="","",IF(JV16="aus",CONCATENATE("( ",D16," )"),D16)),""))</f>
        <v/>
      </c>
      <c r="KF16" s="22" t="str">
        <f>IF(AND($B$20="Allgemeine Hochschulreife",$B$22="Bitte klicken zum Auswählen"),"",IF(AND($B$20="Allgemeine Hochschulreife",$B$22&lt;&gt;"Ausgewiesenes Sprachniveau B1 durch andere Schule"),IF(E16="","",IF(JW16="aus",CONCATENATE("( ",E16," )"),E16)),""))</f>
        <v/>
      </c>
      <c r="KG16" s="10"/>
      <c r="KI16" s="134"/>
      <c r="KJ16" s="274" t="str">
        <f>IF(AND(D16="",E16=""),"",IF(Q16="nein",SUM(D16:E16)/COUNT(D16:E16),IF(KB16=0,"",ROUND((KA16/KB16),2))))</f>
        <v/>
      </c>
      <c r="KK16" s="274"/>
      <c r="KL16" s="275" t="str">
        <f t="shared" si="212"/>
        <v/>
      </c>
      <c r="KM16" s="275"/>
      <c r="KN16" s="168" t="str">
        <f>IF(KJ16="","",INDEX(Noten_tab[],MATCH(KL16,Noten_tab[Punkte],0),2))</f>
        <v/>
      </c>
      <c r="KO16" s="5" t="str">
        <f t="shared" si="71"/>
        <v/>
      </c>
    </row>
    <row r="17" spans="2:301" ht="18.75" customHeight="1" x14ac:dyDescent="0.25">
      <c r="B17" s="25" t="s">
        <v>72</v>
      </c>
      <c r="C17" s="2" t="s">
        <v>49</v>
      </c>
      <c r="D17" s="27"/>
      <c r="E17" s="27"/>
      <c r="K17" s="12"/>
      <c r="L17" s="12"/>
      <c r="M17" s="189" t="str">
        <f t="shared" ref="M17:N17" si="239">IF(D17="","",IF(D17="k",0,D17))</f>
        <v/>
      </c>
      <c r="N17" s="189" t="str">
        <f t="shared" si="239"/>
        <v/>
      </c>
      <c r="O17" s="135"/>
      <c r="P17" s="12"/>
      <c r="Q17" s="89" t="str">
        <f>IF(OR(B17="Kunst",B17="Musik",B17="Studier- und Arbeitstechniken",B17="Szenisches Gestalten",B17="Sport"),"nein",IF(COUNT(D17:E17)=0,"","ja"))</f>
        <v/>
      </c>
      <c r="R17" s="94" t="str">
        <f>IF(Q17="ja",MIN(M17:N17),"")</f>
        <v/>
      </c>
      <c r="S17" s="105" t="str">
        <f>IF(Q17="ja",IF(COUNT(M17:N17)=0,"",AVERAGE(M17:N17)),"")</f>
        <v/>
      </c>
      <c r="T17" s="106" t="str">
        <f>IF(Q17="ja",IF(COUNT(M17:N17)&lt;2,MIN(M17:N17),(SUM(M17:N17)-MIN(M17:N17))/(COUNT(M17:N17)-1)),"")</f>
        <v/>
      </c>
      <c r="U17" s="106"/>
      <c r="V17" s="106"/>
      <c r="W17" s="106" t="str">
        <f t="shared" ref="W17" si="240">IF(U17="",S17,U17)</f>
        <v/>
      </c>
      <c r="X17" s="106" t="str">
        <f t="shared" si="226"/>
        <v/>
      </c>
      <c r="Y17" s="106" t="str">
        <f t="shared" si="227"/>
        <v/>
      </c>
      <c r="Z17" s="107" t="str">
        <f>IF(Q17="ja",_xlfn.RANK.EQ(R17,$R$7:$R$17,1),"")</f>
        <v/>
      </c>
      <c r="AA17" s="123" t="str">
        <f t="shared" si="78"/>
        <v/>
      </c>
      <c r="AB17" s="123" t="str">
        <f t="shared" si="79"/>
        <v/>
      </c>
      <c r="AC17" s="123" t="str">
        <f t="shared" si="80"/>
        <v/>
      </c>
      <c r="AD17" s="123" t="str">
        <f t="shared" si="81"/>
        <v/>
      </c>
      <c r="AE17" s="123" t="str">
        <f t="shared" si="82"/>
        <v/>
      </c>
      <c r="AF17" s="123" t="str">
        <f>IF(AE17="","",INDEX(Noten_tab[],MATCH(AE17,Noten_tab[Punkte],0),2))</f>
        <v/>
      </c>
      <c r="AG17" s="114" t="str">
        <f>IF(Q17="nein","",IF(Q17="ja",IF($C17="nein",10000+(Z17+5),""),""))</f>
        <v/>
      </c>
      <c r="AH17" s="115" t="str">
        <f>IF(Q17="nein","",IF(Q17="ja",IF($C17="aut.",(Z17*300),""),""))</f>
        <v/>
      </c>
      <c r="AI17" s="115" t="str">
        <f>IF(Q17="nein","",IFERROR(IF($AF$22&gt;2,IF(Q17="","",IF(Q17="ja",IF(AND($C17="aut.",W17&lt;3.5,X17&gt;=3.5),200,IF(AND($C17="nein",W17&lt;3.5,X17&gt;=3.5),5000,IF(AND($C17="ja",W17&lt;3.5,X17&gt;=3.5),Z17,""))))),
IF(AND($BC$52=390,$AF$22=2,$AF$28&lt;156),IF(Q17="","",IF(Q17="ja",IF(AND($C17="aut.",W17&lt;3.5,X17&gt;=3.5),200,IF(AND($C17="nein",W17&lt;3.5,X17&gt;=3.5),5000,IF(AND($C17="ja",W17&lt;3.5,X17&gt;=3.5),Z17,""))))),
IF(AND($BC$52=390,$AF$22=1,$AF$28&lt;130),IF(Q17="","",IF(Q17="ja",IF(AND($C17="aut.",W17&lt;3.5,X17&gt;=3.5),200,IF(AND($C17="nein",W17&lt;3.5,X17&gt;=3.5),5000,IF(AND($C17="ja",W17&lt;3.5,X17&gt;=3.5),Z17,""))))),
IF(AND($BC$52=420,$AF$22=2,$AF$28&lt;168),IF(Q17="","",IF(Q17="ja",IF(AND($C17="aut.",W17&lt;3.5,X17&gt;=3.5),200,IF(AND($C17="nein",W17&lt;3.5,X17&gt;=3.5),5000,IF(AND($C17="ja",W17&lt;3.5,X17&gt;=3.5),Z17,""))))),
IF(AND($BC$52=420,$AF$22=1,$AF$28&lt;140),IF(Q17="","",IF(Q17="ja",IF(AND($C17="aut.",W17&lt;3.5,X17&gt;=3.5),200,IF(AND($C17="nein",W17&lt;3.5,X17&gt;=3.5),5000,IF(AND($C17="ja",W17&lt;3.5,X17&gt;=3.5),Z17,""))))),""))))),""))</f>
        <v/>
      </c>
      <c r="AJ17" s="116" t="str">
        <f>IF(Q17="nein","",IF(Q17="ja",IF($C17="ja",50+Z17,""),""))</f>
        <v/>
      </c>
      <c r="AK17" s="121" t="str">
        <f>IF(Q17="nein","",IF(Q17="","",IF(Q17="ja",IF(AND(D17="",E17=""),"",MIN(AG17:AJ17)),"")))</f>
        <v/>
      </c>
      <c r="AL17" s="122" t="str">
        <f t="shared" si="228"/>
        <v/>
      </c>
      <c r="AM17" s="114" t="str">
        <f t="shared" si="229"/>
        <v/>
      </c>
      <c r="AN17" s="123" t="str">
        <f t="shared" si="230"/>
        <v/>
      </c>
      <c r="AO17" s="116" t="str">
        <f t="shared" si="231"/>
        <v/>
      </c>
      <c r="AP17" s="94" t="str">
        <f t="shared" si="4"/>
        <v/>
      </c>
      <c r="AQ17" s="121" t="str">
        <f>IF(Q17="ja",IF(D17="","",_xlfn.RANK.EQ(M17,$M17:$N17,1)+COLUMN(D17)/100),"")</f>
        <v/>
      </c>
      <c r="AR17" s="128" t="str">
        <f>IF(Q17="ja",IF(E17="","",_xlfn.RANK.EQ(N17,$M17:$N17,1)+COLUMN(E17)/100),"")</f>
        <v/>
      </c>
      <c r="AS17" s="131" t="str">
        <f>IF($BE$22&gt;16,"ja","nein")</f>
        <v>ja</v>
      </c>
      <c r="AT17" s="121" t="str">
        <f>IF(Q17="ja",IF(AS17="nein","",IF($AP17="","",IF(AQ17=MIN($AQ17:$AR17),"aus",""))),IF(Q17="nein","n.ef.",""))</f>
        <v/>
      </c>
      <c r="AU17" s="128" t="str">
        <f>IF(Q17="ja",IF(AS17="nein","",IF($AP17="","",IF(AR17=MIN($AQ17:$AR17),"aus",""))),IF(Q17="nein","n.ef.",""))</f>
        <v/>
      </c>
      <c r="AV17" s="77"/>
      <c r="AW17" s="114" t="str">
        <f>IF($AT17="n.ef.","",IF(LEFT(BC17,1)="(","",BC17))</f>
        <v/>
      </c>
      <c r="AX17" s="123" t="str">
        <f>IF($AU17="n.ef.","",IF(LEFT(BD17,1)="(","",BD17))</f>
        <v/>
      </c>
      <c r="AY17" s="123">
        <f>SUM(AW17:AX17)</f>
        <v>0</v>
      </c>
      <c r="AZ17" s="116">
        <f>COUNT(AW17:AX17)</f>
        <v>0</v>
      </c>
      <c r="BA17" s="77"/>
      <c r="BB17" s="11" t="str">
        <f t="shared" si="7"/>
        <v>(Wahlpflichtfach 2 auswählen)</v>
      </c>
      <c r="BC17" s="23" t="str">
        <f>IF($B$20="Bitte klicken zum Auswählen","",IF(D17="","",IF(AT17="aus",CONCATENATE("( ",D17," )"),D17)))</f>
        <v/>
      </c>
      <c r="BD17" s="23" t="str">
        <f>IF($B$20="Bitte klicken zum Auswählen","",IF(E17="","",IF(AU17="aus",CONCATENATE("( ",E17," )"),E17)))</f>
        <v/>
      </c>
      <c r="BE17" s="10"/>
      <c r="BF17" s="20"/>
      <c r="BG17" s="136"/>
      <c r="BH17" s="274" t="str">
        <f>IF(AND(D17="",E17=""),"",IF(Q17="nein",SUM(D17:E17)/COUNT(D17:E17),IF(AZ17=0,"",ROUND((AY17/AZ17),2))))</f>
        <v/>
      </c>
      <c r="BI17" s="274"/>
      <c r="BJ17" s="275" t="str">
        <f t="shared" si="213"/>
        <v/>
      </c>
      <c r="BK17" s="275"/>
      <c r="BL17" s="168" t="str">
        <f>IF(BH17="","",INDEX(Noten_tab[],MATCH(BJ17,Noten_tab[Punkte],0),2))</f>
        <v/>
      </c>
      <c r="BM17" s="5" t="str">
        <f>IF(Q17="nein",0,IF(BJ17="","",IF(BJ17=0,2,IF(BJ17&lt;4,1,0))))</f>
        <v/>
      </c>
      <c r="BN17" s="78"/>
      <c r="BO17" s="10"/>
      <c r="BP17" s="145" t="str">
        <f>IF(Q17="","",IF(Q17="ja",IF(AND($B$22="Belegung als Wahlpflichtfach (in Jgst. 13)",(OR(B17="Spanisch",B17="Französisch",B17="Spanisch fortgeführt",B17="Französisch fortgeführt"))),20,MIN(M17:N17)),""))</f>
        <v/>
      </c>
      <c r="BQ17" s="106" t="str">
        <f>IF(Q17="ja",IF(COUNT(M17:N17)=0,"",AVERAGE(M17:N17)),"")</f>
        <v/>
      </c>
      <c r="BR17" s="106" t="str">
        <f>IF(Q17="ja",IF(COUNT(M17:N17)&lt;2,MIN(M17:N17),(SUM(M17:N17)-MIN(M17:N17))/(COUNT(M17:N17)-1)),"")</f>
        <v/>
      </c>
      <c r="BS17" s="106"/>
      <c r="BT17" s="106"/>
      <c r="BU17" s="106" t="str">
        <f t="shared" ref="BU17" si="241">IF(BS17="",BQ17,BS17)</f>
        <v/>
      </c>
      <c r="BV17" s="106" t="str">
        <f t="shared" si="232"/>
        <v/>
      </c>
      <c r="BW17" s="106" t="str">
        <f t="shared" si="233"/>
        <v/>
      </c>
      <c r="BX17" s="107" t="str">
        <f>IF(Q17="ja",_xlfn.RANK.EQ(BP17,$BP$7:$BP$17,1),"")</f>
        <v/>
      </c>
      <c r="BY17" s="114" t="str">
        <f>IF(Q17="nein","",IF(Q17="ja",IF($C17="nein",10000+(BX17+5),""),""))</f>
        <v/>
      </c>
      <c r="BZ17" s="115" t="str">
        <f>IF(Q17="nein","",IF(Q17="ja",IF($C17="aut.",(BX17*300),""),""))</f>
        <v/>
      </c>
      <c r="CA17" s="115" t="str">
        <f>IF(Q17="nein","",IFERROR(IF($AF$22&gt;2,IF(Q17="","",IF(Q17="ja",IF(AND($B$22="Belegung als Wahlpflichtfach (in Jgst. 13)",(OR(B17="Spanisch",B17="Französisch",B17="Spanisch fortgeführt",B17="Französisch fortgeführt"))),20000,IF(AND($C17="aut.",BU17&lt;3.5,BV17&gt;=3.5),200,IF(AND($C17="nein",BU17&lt;3.5,BV17&gt;=3.5),5000,IF(AND($C17="ja",BU17&lt;3.5,BV17&gt;=3.5),BX17,"")))))),
IF(AND($BC$52=390,$AF$22=2,$AF$28&lt;156),IF(Q17="","",IF(Q17="ja",IF(AND($B$22="Belegung als Wahlpflichtfach (in Jgst. 13)",(OR(B17="Spanisch",B17="Französisch",B17="Spanisch fortgeführt",B17="Französisch fortgeführt"))),20000,IF(AND($C17="aut.",BU17&lt;3.5,BV17&gt;=3.5),200,IF(AND($C17="nein",BU17&lt;3.5,BV17&gt;=3.5),5000,IF(AND($C17="ja",BU17&lt;3.5,BV17&gt;=3.5),BX17,"")))))),
IF(AND($BC$52=390,$AF$22=1,$AF$28&lt;130),IF(Q17="","",IF(Q17="ja",IF(AND($B$22="Belegung als Wahlpflichtfach (in Jgst. 13)",(OR(B17="Spanisch",B17="Französisch",B17="Spanisch fortgeführt",B17="Französisch fortgeführt"))),20000,IF(AND($C17="aut.",BU17&lt;3.5,BV17&gt;=3.5),200,IF(AND($C17="nein",BU17&lt;3.5,BV17&gt;=3.5),5000,IF(AND($C17="ja",BU17&lt;3.5,BV17&gt;=3.5),BX17,"")))))),
IF(AND($BC$52=420,$AF$22=2,$AF$28&lt;168),IF(Q17="","",IF(Q17="ja",IF(AND($B$22="Belegung als Wahlpflichtfach (in Jgst. 13)",(OR(B17="Spanisch",B17="Französisch",B17="Spanisch fortgeführt",B17="Französisch fortgeführt"))),20000,IF(AND($C17="aut.",BU17&lt;3.5,BV17&gt;=3.5),200,IF(AND($C17="nein",BU17&lt;3.5,BV17&gt;=3.5),5000,IF(AND($C17="ja",BU17&lt;3.5,BV17&gt;=3.5),BX17,"")))))),
IF(AND($BC$52=420,$AF$22=1,$AF$28&lt;140),IF(Q17="","",IF(Q17="ja",IF(AND($B$22="Belegung als Wahlpflichtfach (in Jgst. 13)",(OR(B17="Spanisch",B17="Französisch",B17="Spanisch fortgeführt",B17="Französisch fortgeführt"))),20000,IF(AND($C17="aut.",BU17&lt;3.5,BV17&gt;=3.5),200,IF(AND($C17="nein",BU17&lt;3.5,BV17&gt;=3.5),5000,IF(AND($C17="ja",BU17&lt;3.5,BV17&gt;=3.5),BX17,"")))))),""))))),""))</f>
        <v/>
      </c>
      <c r="CB17" s="116" t="str">
        <f>IF(Q17="nein","",IF(Q17="ja",IF($C17="ja",50+BX17,""),""))</f>
        <v/>
      </c>
      <c r="CC17" s="121" t="str">
        <f>IF(Q17="","",IF(Q17="ja",IF(AND(D17="",E17=""),"",MIN(BY17:CB17)),""))</f>
        <v/>
      </c>
      <c r="CD17" s="122" t="str">
        <f>IF(Q17="ja",IF(CC17="","",CC17+((15+BW17)/100)+(BU17/100000)+(BV17/100000000)+(ROW(CC17)/100000000000)),"")</f>
        <v/>
      </c>
      <c r="CE17" s="114" t="str">
        <f t="shared" si="234"/>
        <v/>
      </c>
      <c r="CF17" s="123" t="str">
        <f>IF(CC17="","",IF($Q$20=1,IF(CD17=SMALL($CD$7:$CD$17,1),1,IF(CD17=SMALL($CD$7:$CD$17,2),2,"")),""))</f>
        <v/>
      </c>
      <c r="CG17" s="116" t="str">
        <f>IF(CC17="","",IF($Q$20=2,IF(CD17=SMALL($CD$7:$CD$17,1),1,IF(CD17=SMALL($CD$7:$CD$17,2),2,IF(CD17=SMALL($CD$7:$CD$17,3),3,IF(CD17=SMALL($CD$7:$CD$17,4),4,"")))),""))</f>
        <v/>
      </c>
      <c r="CH17" s="94" t="str">
        <f t="shared" si="235"/>
        <v/>
      </c>
      <c r="CI17" s="121" t="str">
        <f>IF(Q17="ja",IF(D17="","",_xlfn.RANK.EQ(M17,$M17:$N17,1)+COLUMN(D17)/100),"")</f>
        <v/>
      </c>
      <c r="CJ17" s="128" t="str">
        <f>IF(Q17="ja",IF(E17="","",_xlfn.RANK.EQ(N17,$M17:$N17,1)+COLUMN(E17)/100),"")</f>
        <v/>
      </c>
      <c r="CK17" s="131" t="str">
        <f t="shared" si="236"/>
        <v>ja</v>
      </c>
      <c r="CL17" s="121" t="str">
        <f>IF(Q17="ja",IF(CK17="nein","",IF($CH17="","",IF(CI17=MIN($CI17:$CJ17),"aus",""))),IF(Q17="nein","n.ef.",""))</f>
        <v/>
      </c>
      <c r="CM17" s="128" t="str">
        <f>IF(Q17="ja",IF(CK17="nein","",IF($CH17="","",IF(CJ17=MIN($CI17:$CJ17),"aus",""))),IF(Q17="nein","n.ef.",""))</f>
        <v/>
      </c>
      <c r="CN17" s="77"/>
      <c r="CO17" s="114" t="str">
        <f>IF($CL17="n.ef.","",IF(LEFT(CU17,1)="(","",CU17))</f>
        <v/>
      </c>
      <c r="CP17" s="123" t="str">
        <f>IF($CM17="n.ef.","",IF(LEFT(CV17,1)="(","",CV17))</f>
        <v/>
      </c>
      <c r="CQ17" s="123">
        <f>SUM(CO17:CP17)</f>
        <v>0</v>
      </c>
      <c r="CR17" s="116">
        <f>COUNT(CO17:CP17)</f>
        <v>0</v>
      </c>
      <c r="CT17" s="84" t="str">
        <f t="shared" si="103"/>
        <v>(Wahlpflichtfach 2 auswählen)</v>
      </c>
      <c r="CU17" s="23" t="str">
        <f>IF(AND($B$20="Allgemeine Hochschulreife",$B$22="Bitte klicken zum Auswählen"),"",IF(AND($B$20="Allgemeine Hochschulreife",$B$22&lt;&gt;"Ausgewiesenes Sprachniveau B1 durch andere Schule"),IF(D17="","",IF(CL17="aus",CONCATENATE("( ",D17," )"),D17)),""))</f>
        <v/>
      </c>
      <c r="CV17" s="23" t="str">
        <f>IF(AND($B$20="Allgemeine Hochschulreife",$B$22="Bitte klicken zum Auswählen"),"",IF(AND($B$20="Allgemeine Hochschulreife",$B$22&lt;&gt;"Ausgewiesenes Sprachniveau B1 durch andere Schule"),IF(E17="","",IF(CM17="aus",CONCATENATE("( ",E17," )"),E17)),""))</f>
        <v/>
      </c>
      <c r="CW17" s="10"/>
      <c r="CZ17" s="274" t="str">
        <f>IF(AND(D17="",E17=""),"",IF(Q17="nein",SUM(A17:B17)/COUNT(A17:B17),IF(CR17=0,"",ROUND((CQ17/CR17),2))))</f>
        <v/>
      </c>
      <c r="DA17" s="274"/>
      <c r="DB17" s="275" t="str">
        <f t="shared" si="104"/>
        <v/>
      </c>
      <c r="DC17" s="275"/>
      <c r="DD17" s="168" t="str">
        <f>IF(CZ17="","",INDEX(Noten_tab[],MATCH(DB17,Noten_tab[Punkte],0),2))</f>
        <v/>
      </c>
      <c r="DE17" s="5" t="str">
        <f t="shared" si="23"/>
        <v/>
      </c>
      <c r="DF17" s="52" t="str">
        <f>IF(AND(BP17=20,DD17&lt;4),"Das Ergebnis bestätigt die zweite Fremdsprache nicht.","")</f>
        <v/>
      </c>
      <c r="DH17" s="237" t="str">
        <f>IF(W17="","",IF(W17&lt;1,0,ROUND(W17,0)))</f>
        <v/>
      </c>
      <c r="DI17" s="239" t="str">
        <f>IF(X17="","",IF(X17&lt;1,0,ROUND(X17,0)))</f>
        <v/>
      </c>
      <c r="DJ17" s="239" t="str">
        <f>IF(DH17="","",INDEX(Noten_tab[],MATCH(DH17,Noten_tab[Punkte],0),3))</f>
        <v/>
      </c>
      <c r="DK17" s="239" t="str">
        <f>IF(DI17="","",INDEX(Noten_tab[],MATCH(DI17,Noten_tab[Punkte],0),3))</f>
        <v/>
      </c>
      <c r="DL17" s="239" t="str">
        <f>IF(OR(AT17="aus",AU17="aus"),"",IF(DJ17&gt;DK17,"Verbesserung",""))</f>
        <v/>
      </c>
      <c r="DM17" s="239" t="str">
        <f t="shared" si="105"/>
        <v/>
      </c>
      <c r="DN17" s="239" t="str">
        <f>IF(OR(AT17="aus",AU17="aus"),IF(DJ17&lt;=DK17,"keine Verschlechterung",""),"")</f>
        <v/>
      </c>
      <c r="DO17" s="239" t="str">
        <f>IF(R17="","",IF(AND(DL17="",DN17=""),"",R17))</f>
        <v/>
      </c>
      <c r="DP17" s="240" t="str">
        <f>IFERROR(IF(DO17="","",$BE$27-INDEX(Schnitt_von_bis_390_tab[],MATCH($BE$28,Schnitt_von_bis_390_tab[Schnitt],0),3)),"")</f>
        <v/>
      </c>
      <c r="DQ17" s="241" t="str">
        <f t="shared" si="106"/>
        <v/>
      </c>
      <c r="DR17" s="241" t="str">
        <f t="shared" si="107"/>
        <v/>
      </c>
      <c r="DS17" s="242" t="str">
        <f t="shared" si="108"/>
        <v/>
      </c>
      <c r="DT17" s="123" t="str">
        <f t="shared" si="109"/>
        <v/>
      </c>
      <c r="DU17" s="243" t="str">
        <f t="shared" si="110"/>
        <v/>
      </c>
      <c r="DV17" s="244" t="str">
        <f t="shared" si="111"/>
        <v/>
      </c>
      <c r="DW17" s="123" t="str">
        <f t="shared" si="112"/>
        <v/>
      </c>
      <c r="DX17" s="123" t="str">
        <f t="shared" si="113"/>
        <v/>
      </c>
      <c r="DY17" s="242" t="str">
        <f t="shared" si="114"/>
        <v/>
      </c>
      <c r="DZ17" s="123" t="str">
        <f t="shared" si="115"/>
        <v/>
      </c>
      <c r="EA17" s="242" t="str">
        <f t="shared" si="116"/>
        <v/>
      </c>
      <c r="EB17" s="123" t="str">
        <f t="shared" si="117"/>
        <v/>
      </c>
      <c r="EC17" s="242" t="str">
        <f t="shared" si="118"/>
        <v/>
      </c>
      <c r="ED17" s="123" t="str">
        <f t="shared" si="119"/>
        <v/>
      </c>
      <c r="EE17" s="242" t="str">
        <f t="shared" si="120"/>
        <v/>
      </c>
      <c r="EF17" s="116" t="str">
        <f t="shared" si="121"/>
        <v/>
      </c>
      <c r="EG17" s="123" t="str">
        <f t="shared" si="122"/>
        <v/>
      </c>
      <c r="EH17" s="123" t="str">
        <f t="shared" si="123"/>
        <v/>
      </c>
      <c r="EI17" s="123" t="str">
        <f t="shared" si="124"/>
        <v/>
      </c>
      <c r="EJ17" s="123" t="str">
        <f t="shared" si="125"/>
        <v/>
      </c>
      <c r="EK17" s="123" t="str">
        <f t="shared" si="126"/>
        <v/>
      </c>
      <c r="EL17" s="242" t="str">
        <f t="shared" si="127"/>
        <v/>
      </c>
      <c r="EM17" s="123" t="str">
        <f t="shared" si="128"/>
        <v/>
      </c>
      <c r="EN17" s="123" t="str">
        <f t="shared" si="129"/>
        <v/>
      </c>
      <c r="EO17" s="123" t="str">
        <f t="shared" si="130"/>
        <v/>
      </c>
      <c r="EP17" s="243" t="str">
        <f t="shared" si="131"/>
        <v/>
      </c>
      <c r="EQ17" s="123" t="str">
        <f t="shared" si="132"/>
        <v/>
      </c>
      <c r="ER17" s="123" t="str">
        <f t="shared" si="133"/>
        <v/>
      </c>
      <c r="ES17" s="123" t="str">
        <f t="shared" si="134"/>
        <v/>
      </c>
      <c r="ET17" s="123" t="str">
        <f t="shared" si="135"/>
        <v/>
      </c>
      <c r="EU17" s="123" t="str">
        <f t="shared" si="136"/>
        <v/>
      </c>
      <c r="EV17" s="242" t="str">
        <f t="shared" si="137"/>
        <v/>
      </c>
      <c r="EW17" s="123" t="str">
        <f t="shared" si="138"/>
        <v/>
      </c>
      <c r="EX17" s="123" t="str">
        <f t="shared" si="139"/>
        <v/>
      </c>
      <c r="EY17" s="123" t="str">
        <f t="shared" si="140"/>
        <v/>
      </c>
      <c r="EZ17" s="243" t="str">
        <f t="shared" si="141"/>
        <v/>
      </c>
      <c r="FA17" s="123" t="str">
        <f t="shared" si="142"/>
        <v/>
      </c>
      <c r="FB17" s="123" t="str">
        <f t="shared" si="143"/>
        <v/>
      </c>
      <c r="FC17" s="123" t="str">
        <f t="shared" si="144"/>
        <v/>
      </c>
      <c r="FD17" s="123" t="str">
        <f t="shared" si="145"/>
        <v/>
      </c>
      <c r="FE17" s="123" t="str">
        <f t="shared" si="146"/>
        <v/>
      </c>
      <c r="FF17" s="245" t="str">
        <f t="shared" si="147"/>
        <v/>
      </c>
      <c r="FG17" s="238" t="str">
        <f t="shared" si="148"/>
        <v/>
      </c>
      <c r="FH17" s="238" t="str">
        <f t="shared" si="149"/>
        <v/>
      </c>
      <c r="FI17" s="238" t="str">
        <f t="shared" si="150"/>
        <v/>
      </c>
      <c r="FJ17" s="238" t="str">
        <f t="shared" si="151"/>
        <v/>
      </c>
      <c r="FK17" s="245" t="str">
        <f t="shared" si="152"/>
        <v/>
      </c>
      <c r="FL17" s="238" t="str">
        <f t="shared" si="153"/>
        <v/>
      </c>
      <c r="FM17" s="238" t="str">
        <f t="shared" si="154"/>
        <v/>
      </c>
      <c r="FN17" s="238" t="str">
        <f t="shared" si="155"/>
        <v/>
      </c>
      <c r="FO17" s="238" t="str">
        <f t="shared" si="156"/>
        <v/>
      </c>
      <c r="FP17" s="246" t="str">
        <f>IF(Q17="nein","",IF(Q17="","",IF(Q17="ja",IF(C17="nein",10000+(Z17*5),""))))</f>
        <v/>
      </c>
      <c r="FQ17" s="247" t="str">
        <f>IF(Q17="nein","",IF(Q17="","",IF(Q17="ja",IF(OR(FK17="vorschlagen",FL17="vorschlagen",FM17="vorschlagen",FN17="vorschlagen",FO17="vorschlagen"),"",IF(C17="aut.",(Z17*300),"")))))</f>
        <v/>
      </c>
      <c r="FR17" s="248" t="str">
        <f>IF(Q17="nein","",IFERROR(IF($AF$22&gt;2,IF(Q17="","",IF(Q17="ja",IF(AND($C17="aut.",W17&lt;3.5,X17&gt;=3.5),200,IF(AND($C17="nein",W17&lt;3.5,X17&gt;=3.5),5000,IF(AND($C17="ja",W17&lt;3.5,X17&gt;=3.5),Z17,""))))),
IF(AND($BC$52=390,$AF$22=2,$AF$28&lt;156),IF(Q17="","",IF(Q17="ja",IF(AND($C17="aut.",W17&lt;3.5,X17&gt;=3.5),200,IF(AND($C17="nein",W17&lt;3.5,X17&gt;=3.5),5000,IF(AND($C17="ja",W17&lt;3.5,X17&gt;=3.5),Z17,""))))),
IF(AND($BC$52=390,$AF$22=1,$AF$28&lt;130),IF(Q17="","",IF(Q17="ja",IF(AND($C17="aut.",W17&lt;3.5,X17&gt;=3.5),200,IF(AND($C17="nein",W17&lt;3.5,X17&gt;=3.5),5000,IF(AND($C17="ja",W17&lt;3.5,X17&gt;=3.5),Z17,""))))),
IF(AND($BC$52=420,$AF$22=2,$AF$28&lt;168),IF(Q17="","",IF(Q17="ja",IF(AND($C17="aut.",W17&lt;3.5,X17&gt;=3.5),200,IF(AND($C17="nein",W17&lt;3.5,X17&gt;=3.5),5000,IF(AND($C17="ja",W17&lt;3.5,X17&gt;=3.5),Z17,""))))),
IF(AND($BC$52=420,$AF$22=1,$AF$28&lt;140),IF(Q17="","",IF(Q17="ja",IF(AND($C17="aut.",W17&lt;3.5,X17&gt;=3.5),200,IF(AND($C17="nein",W17&lt;3.5,X17&gt;=3.5),5000,IF(AND($C17="ja",W17&lt;3.5,X17&gt;=3.5),Z17,""))))),""))))),""))</f>
        <v/>
      </c>
      <c r="FS17" s="247" t="str">
        <f>IF(Q17="nein","",IF(Q17="","",IF(Q17="ja",IF(AND(DL17&lt;&gt;"",OR(FF17&lt;&gt;"",FG17&lt;&gt;"",FH17&lt;&gt;"",FI17&lt;&gt;"",FJ17&lt;&gt;"")),25,IF(AND(DN17&lt;&gt;"",OR(FF17&lt;&gt;"",FG17&lt;&gt;"",FH17&lt;&gt;"",FI17&lt;&gt;"",FJ17&lt;&gt;"")),8000,"")))))</f>
        <v/>
      </c>
      <c r="FT17" s="249" t="str">
        <f>IF(Q17="nein","",IF(Q17="","",IF(Q17="ja",IF(C17="ja",50+Z17,""))))</f>
        <v/>
      </c>
      <c r="FU17" s="247" t="str">
        <f>IF(Q17="nein","",IF(Q17="","",IF(Q17="ja",IF(AND(D17="",E17=""),"",MIN(FP17:FT17)))))</f>
        <v/>
      </c>
      <c r="FV17" s="250" t="str">
        <f>IFERROR(IF(FU17="","",FU17+((15+Y17)/100)+(W17/100000)+(X17/100000000)+(ROW(FU17)/100000000000)),"")</f>
        <v/>
      </c>
      <c r="FW17" s="114" t="str">
        <f t="shared" si="157"/>
        <v/>
      </c>
      <c r="FX17" s="123" t="str">
        <f>IF(FU17="","",IF($Q$20=1,IF(FV17=SMALL($FV$7:$FV$17,1),1,IF(FV17=SMALL($FV$7:$FV$17,2),2,"")),""))</f>
        <v/>
      </c>
      <c r="FY17" s="116" t="str">
        <f>IF(FU17="","",IF($Q$20=2,IF(FV17=SMALL($FV$7:$FV$18,1),1,IF(FV17=SMALL($FV$7:$FV$18,2),2,IF(FV17=SMALL($FV$7:$FV$18,3),3,IF(FV17=SMALL($FV$7:$FV$18,4),4,"")))),""))</f>
        <v/>
      </c>
      <c r="FZ17" s="94" t="str">
        <f t="shared" ref="FZ17" si="242">IF(MAX(FW17:FY17)=0,"",MAX(FW17:FY17))</f>
        <v/>
      </c>
      <c r="GA17" s="121" t="str">
        <f>IF(D17="","",_xlfn.RANK.EQ(M17,$M17:$N17,1)+COLUMN(D17)/100)</f>
        <v/>
      </c>
      <c r="GB17" s="128" t="str">
        <f>IF(E17="","",_xlfn.RANK.EQ(N17,$M17:$N17,1)+COLUMN(E17)/100)</f>
        <v/>
      </c>
      <c r="GC17" s="131" t="str">
        <f t="shared" si="158"/>
        <v>ja</v>
      </c>
      <c r="GD17" s="121" t="str">
        <f>IF(Q17="ja",IF(GC17="nein","",IF($FZ17="","",IF(GA17=MIN($GA17:$GB17),"aus",""))),IF(Q17="nein","n.ef.",""))</f>
        <v/>
      </c>
      <c r="GE17" s="128" t="str">
        <f>IF(Q17="ja",IF(GC17="nein","",IF($FZ17="","",IF(GB17=MIN($GA17:$GB17),"aus",""))),IF(Q17="nein","n.ef.",""))</f>
        <v/>
      </c>
      <c r="GG17" s="114" t="str">
        <f>IF($GD17="n.ef.","",IF(LEFT(GM17,1)="(","",GM17))</f>
        <v/>
      </c>
      <c r="GH17" s="123" t="str">
        <f>IF($GE17="n.ef.","",IF(LEFT(GN17,1)="(","",GN17))</f>
        <v/>
      </c>
      <c r="GI17" s="123">
        <f>SUM(GG17:GH17)</f>
        <v>0</v>
      </c>
      <c r="GJ17" s="116">
        <f>COUNT(GG17:GH17)</f>
        <v>0</v>
      </c>
      <c r="GK17" s="77"/>
      <c r="GL17" s="11" t="str">
        <f t="shared" si="41"/>
        <v>(Wahlpflichtfach 2 auswählen)</v>
      </c>
      <c r="GM17" s="23" t="str">
        <f>IF($B$20="Bitte klicken zum Auswählen","",IF(D17="","",IF(GD17="aus",CONCATENATE("( ",D17," )"),D17)))</f>
        <v/>
      </c>
      <c r="GN17" s="23" t="str">
        <f>IF($B$20="Bitte klicken zum Auswählen","",IF(E17="","",IF(GE17="aus",CONCATENATE("( ",E17," )"),E17)))</f>
        <v/>
      </c>
      <c r="GO17" s="10"/>
      <c r="GP17" s="20"/>
      <c r="GQ17" s="136"/>
      <c r="GR17" s="274" t="str">
        <f>IF(AND(D17="",E17=""),"",IF(Q17="nein",SUM(D17:E17)/COUNT(D17:E17),IF(GJ17=0,"",ROUND((GI17/GJ17),2))))</f>
        <v/>
      </c>
      <c r="GS17" s="274"/>
      <c r="GT17" s="275" t="str">
        <f t="shared" si="214"/>
        <v/>
      </c>
      <c r="GU17" s="275"/>
      <c r="GV17" s="168" t="str">
        <f>IF(GR17="","",INDEX(Noten_tab[],MATCH(GT17,Noten_tab[Punkte],0),2))</f>
        <v/>
      </c>
      <c r="GW17" s="5" t="str">
        <f>IF(EF17="nein",0,IF(GT17="","",IF(GT17=0,2,IF(GT17&lt;4,1,0))))</f>
        <v/>
      </c>
      <c r="GX17" s="75"/>
      <c r="GY17" s="237" t="str">
        <f>IF(BU17="","",IF(BU17&lt;1,0,ROUND(BU17,0)))</f>
        <v/>
      </c>
      <c r="GZ17" s="238" t="str">
        <f>IF(BV17="","",IF(BV17&lt;1,0,ROUND(BV17,0)))</f>
        <v/>
      </c>
      <c r="HA17" s="238" t="str">
        <f>IF(GY17="","",INDEX(Noten_tab[],MATCH(GY17,Noten_tab[Punkte],0),3))</f>
        <v/>
      </c>
      <c r="HB17" s="238" t="str">
        <f>IF(GZ17="","",INDEX(Noten_tab[],MATCH(GZ17,Noten_tab[Punkte],0),3))</f>
        <v/>
      </c>
      <c r="HC17" s="240" t="str">
        <f>IF(Q17="nein","",IF(Q17="","",IF(Q17="ja",IF(AND($B$22="Belegung als Wahlpflichtfach (in Jgst. 13)",(OR(B17="Spanisch",B17="Französisch",B17="Spanisch fortgeführt",B17="Französisch fortgeführt"))),"",IF(OR(CL17="aus",CM17="aus"),"",IF(HA17&gt;HB17,"Verbesserung",""))))))</f>
        <v/>
      </c>
      <c r="HD17" s="239" t="str">
        <f t="shared" si="46"/>
        <v/>
      </c>
      <c r="HE17" s="239" t="str">
        <f>IF(OR(CL17="aus",CM17="aus"),IF(HA17&lt;=HB17,"keine Verschlechterung",""),"")</f>
        <v/>
      </c>
      <c r="HF17" s="239" t="str">
        <f t="shared" si="48"/>
        <v/>
      </c>
      <c r="HG17" s="239" t="str">
        <f t="shared" si="162"/>
        <v/>
      </c>
      <c r="HH17" s="240" t="str">
        <f>IFERROR(IF(HF17="","",$CW$28-IF($CU$56=390,INDEX(Schnitt_von_bis_390_tab[],MATCH($CW$29,Schnitt_von_bis_390_tab[Schnitt],0),3),INDEX(Schnitt_von_bis_420_tab[],MATCH($CW$29,Schnitt_von_bis_420_tab[Schnitt],0),3))),"")</f>
        <v/>
      </c>
      <c r="HI17" s="251" t="str">
        <f>IF(HD17="","",_xlfn.RANK.EQ(HD17,$HD$7:$HD$17)+HF17/100+HB17/1000+(ROW(HD17)/10000000))</f>
        <v/>
      </c>
      <c r="HJ17" s="252" t="str">
        <f>IF(HE17="","",_xlfn.RANK.EQ(HF17,$HF$7:$HF$17)+HA17/10+(ROW(HF17)/10000000))</f>
        <v/>
      </c>
      <c r="HK17" s="123" t="str">
        <f t="shared" si="163"/>
        <v/>
      </c>
      <c r="HL17" s="123" t="str">
        <f t="shared" si="164"/>
        <v/>
      </c>
      <c r="HM17" s="243" t="str">
        <f>IFERROR(IF(HF17="","",$CW$28-HL17),"")</f>
        <v/>
      </c>
      <c r="HN17" s="244" t="str">
        <f t="shared" si="165"/>
        <v/>
      </c>
      <c r="HO17" s="123" t="str">
        <f t="shared" si="166"/>
        <v/>
      </c>
      <c r="HP17" s="123" t="str">
        <f t="shared" si="167"/>
        <v/>
      </c>
      <c r="HQ17" s="242" t="str">
        <f t="shared" si="168"/>
        <v/>
      </c>
      <c r="HR17" s="123" t="str">
        <f t="shared" si="169"/>
        <v/>
      </c>
      <c r="HS17" s="242" t="str">
        <f t="shared" si="170"/>
        <v/>
      </c>
      <c r="HT17" s="123" t="str">
        <f t="shared" si="171"/>
        <v/>
      </c>
      <c r="HU17" s="242" t="str">
        <f t="shared" si="172"/>
        <v/>
      </c>
      <c r="HV17" s="123" t="str">
        <f t="shared" si="173"/>
        <v/>
      </c>
      <c r="HW17" s="242" t="str">
        <f t="shared" si="174"/>
        <v/>
      </c>
      <c r="HX17" s="116" t="str">
        <f t="shared" si="175"/>
        <v/>
      </c>
      <c r="HY17" s="123" t="str">
        <f t="shared" si="176"/>
        <v/>
      </c>
      <c r="HZ17" s="123" t="str">
        <f t="shared" si="177"/>
        <v/>
      </c>
      <c r="IA17" s="123" t="str">
        <f t="shared" si="178"/>
        <v/>
      </c>
      <c r="IB17" s="123" t="str">
        <f t="shared" si="179"/>
        <v/>
      </c>
      <c r="IC17" s="123" t="str">
        <f t="shared" si="180"/>
        <v/>
      </c>
      <c r="ID17" s="242" t="str">
        <f t="shared" si="181"/>
        <v/>
      </c>
      <c r="IE17" s="123" t="str">
        <f t="shared" si="182"/>
        <v/>
      </c>
      <c r="IF17" s="123" t="str">
        <f t="shared" si="183"/>
        <v/>
      </c>
      <c r="IG17" s="123" t="str">
        <f t="shared" si="184"/>
        <v/>
      </c>
      <c r="IH17" s="243" t="str">
        <f t="shared" si="185"/>
        <v/>
      </c>
      <c r="II17" s="123" t="str">
        <f t="shared" si="186"/>
        <v/>
      </c>
      <c r="IJ17" s="123" t="str">
        <f t="shared" si="187"/>
        <v/>
      </c>
      <c r="IK17" s="123" t="str">
        <f t="shared" si="188"/>
        <v/>
      </c>
      <c r="IL17" s="123" t="str">
        <f t="shared" si="189"/>
        <v/>
      </c>
      <c r="IM17" s="123" t="str">
        <f t="shared" si="190"/>
        <v/>
      </c>
      <c r="IN17" s="242" t="str">
        <f t="shared" si="191"/>
        <v/>
      </c>
      <c r="IO17" s="123" t="str">
        <f t="shared" si="192"/>
        <v/>
      </c>
      <c r="IP17" s="123" t="str">
        <f t="shared" si="193"/>
        <v/>
      </c>
      <c r="IQ17" s="123" t="str">
        <f t="shared" si="194"/>
        <v/>
      </c>
      <c r="IR17" s="243" t="str">
        <f t="shared" si="195"/>
        <v/>
      </c>
      <c r="IS17" s="123" t="str">
        <f t="shared" si="196"/>
        <v/>
      </c>
      <c r="IT17" s="123" t="str">
        <f t="shared" si="197"/>
        <v/>
      </c>
      <c r="IU17" s="123" t="str">
        <f t="shared" si="198"/>
        <v/>
      </c>
      <c r="IV17" s="123" t="str">
        <f t="shared" si="199"/>
        <v/>
      </c>
      <c r="IW17" s="123" t="str">
        <f t="shared" si="200"/>
        <v/>
      </c>
      <c r="IX17" s="114" t="str">
        <f t="shared" si="201"/>
        <v/>
      </c>
      <c r="IY17" s="123" t="str">
        <f t="shared" si="202"/>
        <v/>
      </c>
      <c r="IZ17" s="123" t="str">
        <f t="shared" si="203"/>
        <v/>
      </c>
      <c r="JA17" s="123" t="str">
        <f t="shared" si="204"/>
        <v/>
      </c>
      <c r="JB17" s="123" t="str">
        <f t="shared" si="205"/>
        <v/>
      </c>
      <c r="JC17" s="253" t="str">
        <f t="shared" si="206"/>
        <v/>
      </c>
      <c r="JD17" s="238" t="str">
        <f t="shared" si="207"/>
        <v/>
      </c>
      <c r="JE17" s="238" t="str">
        <f t="shared" si="208"/>
        <v/>
      </c>
      <c r="JF17" s="238" t="str">
        <f t="shared" si="209"/>
        <v/>
      </c>
      <c r="JG17" s="254" t="str">
        <f t="shared" si="210"/>
        <v/>
      </c>
      <c r="JH17" s="246" t="str">
        <f>IF(Q17="","",IF(Q17="ja",IF(AND($B$22="Belegung als Wahlpflichtfach (in Jgst. 13)",(OR(B17="Spanisch",B17="Französisch",B17="Spanisch fortgeführt",B17="Französisch fortgeführt"))),20000,IF(C17="nein",10000+(Z17*5),""))))</f>
        <v/>
      </c>
      <c r="JI17" s="247" t="str">
        <f>IF(Q17="","",IF(Q17="ja",IF(AND($B$22="Belegung als Wahlpflichtfach (in Jgst. 13)",(OR(B17="Spanisch",B17="Französisch",B17="Spanisch fortgeführt",B17="Französisch fortgeführt"))),20000,IF(OR(JC17="vorschlagen",JD17="vorschlagen",JE17="vorschlagen",JF17="vorschlagen",JG17="vorschlagen"),"",IF(C17="aut.",(Z17*300),"")))))</f>
        <v/>
      </c>
      <c r="JJ17" s="248" t="str">
        <f>IFERROR(IF($AF$22&gt;2,IF(Q17="","",IF(Q17="ja",IF(AND($B$22="Belegung als Wahlpflichtfach (in Jgst. 13)",(OR(B17="Spanisch",B17="Französisch",B17="Spanisch fortgeführt",B17="Französisch fortgeführt"))),20000,IF(AND($C17="aut.",BU17&lt;3.5,BV17&gt;=3.5),200,IF(AND($C17="nein",BU17&lt;3.5,BV17&gt;=3.5),5000,IF(AND($C17="ja",BU17&lt;3.5,BV17&gt;=3.5),BX17,"")))))),
IF(AND($BC$52=390,$AF$22=2,$AF$28&lt;156),IF(Q17="","",IF(Q17="ja",IF(AND($B$22="Belegung als Wahlpflichtfach (in Jgst. 13)",(OR(B17="Spanisch",B17="Französisch",B17="Spanisch fortgeführt",B17="Französisch fortgeführt"))),20000,IF(AND($C17="aut.",BU17&lt;3.5,BV17&gt;=3.5),200,IF(AND($C17="nein",BU17&lt;3.5,BV17&gt;=3.5),5000,IF(AND($C17="ja",BU17&lt;3.5,BV17&gt;=3.5),BX17,"")))))),
IF(AND($BC$52=390,$AF$22=1,$AF$28&lt;130),IF(Q17="","",IF(Q17="ja",IF(AND($B$22="Belegung als Wahlpflichtfach (in Jgst. 13)",(OR(B17="Spanisch",B17="Französisch",B17="Spanisch fortgeführt",B17="Französisch fortgeführt"))),20000,IF(AND($C17="aut.",BU17&lt;3.5,BV17&gt;=3.5),200,IF(AND($C17="nein",BU17&lt;3.5,BV17&gt;=3.5),5000,IF(AND($C17="ja",BU17&lt;3.5,BV17&gt;=3.5),BX17,"")))))),
IF(AND($BC$52=420,$AF$22=2,$AF$28&lt;168),IF(Q17="","",IF(Q17="ja",IF(AND($B$22="Belegung als Wahlpflichtfach (in Jgst. 13)",(OR(B17="Spanisch",B17="Französisch",B17="Spanisch fortgeführt",B17="Französisch fortgeführt"))),20000,IF(AND($C17="aut.",BU17&lt;3.5,BV17&gt;=3.5),200,IF(AND($C17="nein",BU17&lt;3.5,BV17&gt;=3.5),5000,IF(AND($C17="ja",BU17&lt;3.5,BV17&gt;=3.5),BX17,"")))))),
IF(AND($BC$52=420,$AF$22=1,$AF$28&lt;140),IF(Q17="","",IF(Q17="ja",IF(AND($B$22="Belegung als Wahlpflichtfach (in Jgst. 13)",(OR(B17="Spanisch",B17="Französisch",B17="Spanisch fortgeführt",B17="Französisch fortgeführt"))),20000,IF(AND($C17="aut.",BU17&lt;3.5,BV17&gt;=3.5),200,IF(AND($C17="nein",BU17&lt;3.5,BV17&gt;=3.5),5000,IF(AND($C17="ja",BU17&lt;3.5,BV17&gt;=3.5),BX17,"")))))),""))))),"")</f>
        <v/>
      </c>
      <c r="JK17" s="247" t="str">
        <f>IF(Q17="","",IF(Q17="ja",IF(AND($B$22="Belegung als Wahlpflichtfach (in Jgst. 13)",(OR(B17="Spanisch",B17="Französisch",B17="Spanisch fortgeführt",B17="Französisch fortgeführt"))),20000,IF(AND(HC17&lt;&gt;"",OR(JC17&lt;&gt;"",JD17&lt;&gt;"",JE17&lt;&gt;"",JF17&lt;&gt;"",JG17&lt;&gt;"")),25,IF(AND(HE17&lt;&gt;"",OR(JC17&lt;&gt;"",JD17&lt;&gt;"",JE17&lt;&gt;"",JF17&lt;&gt;"",JG17&lt;&gt;"")),8000,"")))))</f>
        <v/>
      </c>
      <c r="JL17" s="249" t="str">
        <f>IF(Q17="","",IF(Q17="ja",IF(AND($B$22="Belegung als Wahlpflichtfach (in Jgst. 13)",(OR(B17="Spanisch",B17="Französisch",B17="Spanisch fortgeführt",B17="Französisch fortgeführt"))),20000,IF(C17="ja",50+Z17,""))))</f>
        <v/>
      </c>
      <c r="JM17" s="255" t="str">
        <f>IF(Q17="","",IF(Q17="ja",IF(AND(D17="",E17=""),"",MIN(JH17:JL17))))</f>
        <v/>
      </c>
      <c r="JN17" s="250" t="str">
        <f>IFERROR(IF(JM17="","",JM17+((15+BW17)/100)+(BU17/100000)+(BV17/100000000)+(ROW(JM17)/100000000000)),"")</f>
        <v/>
      </c>
      <c r="JO17" s="114" t="str">
        <f t="shared" si="237"/>
        <v/>
      </c>
      <c r="JP17" s="123" t="str">
        <f>IF(JM17="","",IF($Q$20=1,IF(JN17=SMALL($JN$7:$JN$17,1),1,IF(JN17=SMALL($JN$7:$JN$17,2),2,"")),""))</f>
        <v/>
      </c>
      <c r="JQ17" s="116" t="str">
        <f>IF(JM17="","",IF($Q$20=2,IF(JN17=SMALL($JN$7:$JN$18,1),1,IF(JN17=SMALL($JN$7:$JN$18,2),2,IF(JN17=SMALL($JN$7:$JN$18,3),3,IF(JN17=SMALL($JN$7:$JN$18,4),4,"")))),""))</f>
        <v/>
      </c>
      <c r="JR17" s="94" t="str">
        <f t="shared" si="238"/>
        <v/>
      </c>
      <c r="JS17" s="121" t="str">
        <f>IF(D17="","",_xlfn.RANK.EQ(M17,$M17:$N17,1)+COLUMN(D17)/100)</f>
        <v/>
      </c>
      <c r="JT17" s="128" t="str">
        <f>IF(E17="","",_xlfn.RANK.EQ(N17,$M17:$N17,1)+COLUMN(E17)/100)</f>
        <v/>
      </c>
      <c r="JU17" s="131" t="str">
        <f>IF($CW$22&gt;16,"ja","nein")</f>
        <v>ja</v>
      </c>
      <c r="JV17" s="263" t="str">
        <f>IF(Q17="ja",IF(JU17="nein","",IF($JR17="","",IF(JS17=MIN($JS17:$JT17),"aus",""))),IF(Q17="nein","n.ef.",""))</f>
        <v/>
      </c>
      <c r="JW17" s="264" t="str">
        <f>IF(Q17="ja",IF(JU17="nein","",IF($JR17="","",IF(JT17=MIN($JS17:$JT17),"aus",""))),IF(Q17="nein","n.ef.",""))</f>
        <v/>
      </c>
      <c r="JY17" s="114" t="str">
        <f>IF($JV17="n.ef.","",IF(LEFT(KE17,1)="(","",KE17))</f>
        <v/>
      </c>
      <c r="JZ17" s="123" t="str">
        <f>IF($JW17="n.ef.","",IF(LEFT(KF17,1)="(","",KF17))</f>
        <v/>
      </c>
      <c r="KA17" s="123">
        <f>SUM(JY17:JZ17)</f>
        <v>0</v>
      </c>
      <c r="KB17" s="116">
        <f>COUNT(JY17:JZ17)</f>
        <v>0</v>
      </c>
      <c r="KD17" s="84" t="str">
        <f t="shared" si="69"/>
        <v>(Wahlpflichtfach 2 auswählen)</v>
      </c>
      <c r="KE17" s="23" t="str">
        <f>IF(AND($B$20="Allgemeine Hochschulreife",$B$22="Bitte klicken zum Auswählen"),"",IF(AND($B$20="Allgemeine Hochschulreife",$B$22&lt;&gt;"Ausgewiesenes Sprachniveau B1 durch andere Schule"),IF(D17="","",IF(JV17="aus",CONCATENATE("( ",D17," )"),D17)),""))</f>
        <v/>
      </c>
      <c r="KF17" s="23" t="str">
        <f>IF(AND($B$20="Allgemeine Hochschulreife",$B$22="Bitte klicken zum Auswählen"),"",IF(AND($B$20="Allgemeine Hochschulreife",$B$22&lt;&gt;"Ausgewiesenes Sprachniveau B1 durch andere Schule"),IF(E17="","",IF(JW17="aus",CONCATENATE("( ",E17," )"),E17)),""))</f>
        <v/>
      </c>
      <c r="KG17" s="10"/>
      <c r="KJ17" s="274" t="str">
        <f>IF(AND(D17="",E17=""),"",IF(Q17="nein",SUM(D17:E17)/COUNT(D17:E17),IF(KB17=0,"",ROUND((KA17/KB17),2))))</f>
        <v/>
      </c>
      <c r="KK17" s="274"/>
      <c r="KL17" s="275" t="str">
        <f t="shared" si="212"/>
        <v/>
      </c>
      <c r="KM17" s="275"/>
      <c r="KN17" s="168" t="str">
        <f>IF(KJ17="","",INDEX(Noten_tab[],MATCH(KL17,Noten_tab[Punkte],0),2))</f>
        <v/>
      </c>
      <c r="KO17" s="5" t="str">
        <f t="shared" si="71"/>
        <v/>
      </c>
    </row>
    <row r="18" spans="2:301" ht="18.75" customHeight="1" x14ac:dyDescent="0.25">
      <c r="B18" s="15"/>
      <c r="C18" s="12"/>
      <c r="D18" s="4"/>
      <c r="E18" s="4"/>
      <c r="F18" s="4"/>
      <c r="G18" s="4"/>
      <c r="H18" s="4"/>
      <c r="I18" s="4"/>
      <c r="J18" s="4"/>
      <c r="K18" s="8"/>
      <c r="L18" s="8"/>
      <c r="M18" s="135"/>
      <c r="N18" s="135"/>
      <c r="O18" s="135"/>
      <c r="P18" s="8"/>
      <c r="Q18" s="81"/>
      <c r="AL18" s="75"/>
      <c r="AM18" s="75"/>
      <c r="AN18" s="75"/>
      <c r="AO18" s="75"/>
      <c r="AT18" s="75"/>
      <c r="AU18" s="75"/>
      <c r="AV18" s="75"/>
      <c r="AW18" s="75"/>
      <c r="AX18" s="75"/>
      <c r="AY18" s="75"/>
      <c r="AZ18" s="75"/>
      <c r="BA18" s="75"/>
      <c r="BE18" s="34"/>
      <c r="BF18" s="20"/>
      <c r="BH18" s="4"/>
      <c r="BI18" s="5"/>
      <c r="BJ18" s="8"/>
      <c r="BK18" s="16"/>
      <c r="BL18" s="4"/>
      <c r="BM18" s="5">
        <f>SUM(BM7:BM17)</f>
        <v>0</v>
      </c>
      <c r="BN18" s="34"/>
      <c r="BO18" s="34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5"/>
      <c r="CE18" s="75"/>
      <c r="CF18" s="75"/>
      <c r="CG18" s="75"/>
      <c r="CH18" s="76"/>
      <c r="CI18" s="76"/>
      <c r="CJ18" s="76"/>
      <c r="CK18" s="76"/>
      <c r="CL18" s="75"/>
      <c r="CM18" s="75"/>
      <c r="CN18" s="75"/>
      <c r="CO18" s="75"/>
      <c r="CP18" s="75"/>
      <c r="CQ18" s="75"/>
      <c r="CR18" s="75"/>
      <c r="CW18" s="34"/>
      <c r="DB18" s="8"/>
      <c r="DC18" s="16"/>
      <c r="DE18" s="5">
        <f>SUM(DE7:DE17)</f>
        <v>0</v>
      </c>
      <c r="GG18" s="75"/>
      <c r="GH18" s="75"/>
      <c r="GI18" s="75"/>
      <c r="GJ18" s="75"/>
      <c r="GK18" s="75"/>
      <c r="GO18" s="34"/>
      <c r="GP18" s="20"/>
      <c r="GR18" s="4"/>
      <c r="GS18" s="5"/>
      <c r="GT18" s="8"/>
      <c r="GU18" s="16"/>
      <c r="GV18" s="4"/>
      <c r="GW18" s="5">
        <f>SUM(GW7:GW17)</f>
        <v>0</v>
      </c>
      <c r="GX18" s="75"/>
      <c r="JY18" s="75"/>
      <c r="JZ18" s="75"/>
      <c r="KA18" s="75"/>
      <c r="KB18" s="75"/>
      <c r="KG18" s="34"/>
      <c r="KJ18" s="4"/>
      <c r="KK18" s="5"/>
      <c r="KL18" s="8"/>
      <c r="KM18" s="16"/>
      <c r="KN18" s="4"/>
      <c r="KO18" s="5">
        <f>SUM(KO7:KO17)</f>
        <v>0</v>
      </c>
    </row>
    <row r="19" spans="2:301" ht="18.75" customHeight="1" x14ac:dyDescent="0.25">
      <c r="B19" s="54" t="s">
        <v>58</v>
      </c>
      <c r="C19" s="416"/>
      <c r="D19" s="416"/>
      <c r="E19" s="416"/>
      <c r="F19" s="173"/>
      <c r="G19" s="173"/>
      <c r="H19" s="173"/>
      <c r="I19" s="173"/>
      <c r="J19" s="173"/>
      <c r="K19" s="8"/>
      <c r="L19" s="8"/>
      <c r="M19" s="8" t="s">
        <v>289</v>
      </c>
      <c r="N19" s="81" t="str">
        <f>IFERROR(IF(COUNT(M7:N14,M16:N16)&lt;18,"HJL fehlt","alle eingetragen"),"")</f>
        <v>HJL fehlt</v>
      </c>
      <c r="O19" s="8"/>
      <c r="P19" s="8"/>
      <c r="Q19" s="81">
        <f>COUNTIF(Q16:Q17,"nein")</f>
        <v>0</v>
      </c>
      <c r="R19" s="73" t="s">
        <v>242</v>
      </c>
      <c r="AL19" s="75"/>
      <c r="AM19" s="75"/>
      <c r="AN19" s="75"/>
      <c r="AO19" s="75"/>
      <c r="AT19" s="75"/>
      <c r="AU19" s="75"/>
      <c r="AV19" s="75"/>
      <c r="AW19" s="75"/>
      <c r="AX19" s="75"/>
      <c r="AY19" s="75"/>
      <c r="AZ19" s="75"/>
      <c r="BA19" s="75"/>
      <c r="BE19" s="34"/>
      <c r="BF19" s="34"/>
      <c r="BH19" s="4"/>
      <c r="BI19" s="5"/>
      <c r="BJ19" s="8"/>
      <c r="BK19" s="16"/>
      <c r="BL19" s="4"/>
      <c r="BM19" s="5" t="str">
        <f>IF(COUNT(BM7:BM16)&lt;10,"zu wenig GE",IF(BM18=0,"bestanden",IF(BM18&lt;=2,"Kontrolle","nicht b.")))</f>
        <v>zu wenig GE</v>
      </c>
      <c r="BN19" s="34"/>
      <c r="BO19" s="34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5"/>
      <c r="CE19" s="75"/>
      <c r="CF19" s="75"/>
      <c r="CG19" s="75"/>
      <c r="CH19" s="76"/>
      <c r="CI19" s="76"/>
      <c r="CJ19" s="76"/>
      <c r="CK19" s="76"/>
      <c r="CL19" s="75" t="str">
        <f>IF($AP19="","",IF(CH19=MIN($AQ19:$AR19),"aus",""))</f>
        <v/>
      </c>
      <c r="CM19" s="75" t="str">
        <f>IF($AP19="","",IF(#REF!=MIN($AQ19:$AR19),"aus",""))</f>
        <v/>
      </c>
      <c r="CN19" s="75"/>
      <c r="CO19" s="75"/>
      <c r="CP19" s="75"/>
      <c r="CQ19" s="75"/>
      <c r="CR19" s="75"/>
      <c r="CW19" s="34"/>
      <c r="DB19" s="8"/>
      <c r="DC19" s="16"/>
      <c r="DE19" s="5" t="str">
        <f>IF(COUNT(DE7:DE16)&lt;10,"zu wenig GE",IF(DE18=0,"bestanden",IF(DE18&lt;=2,"Kontrolle","nicht b.")))</f>
        <v>zu wenig GE</v>
      </c>
      <c r="FP19" s="34"/>
      <c r="FQ19" s="34"/>
      <c r="FR19" s="34"/>
      <c r="FS19" s="34"/>
      <c r="FT19" s="34"/>
      <c r="GG19" s="75"/>
      <c r="GH19" s="75"/>
      <c r="GI19" s="75"/>
      <c r="GJ19" s="75"/>
      <c r="GK19" s="75"/>
      <c r="GO19" s="34"/>
      <c r="GP19" s="34"/>
      <c r="GR19" s="4"/>
      <c r="GS19" s="5"/>
      <c r="GT19" s="8"/>
      <c r="GU19" s="16"/>
      <c r="GV19" s="4"/>
      <c r="GW19" s="5" t="str">
        <f>IF(COUNT(GW7:GW16)&lt;10,"zu wenig GE",IF(GW18=0,"bestanden",IF(GW18&lt;=2,"Kontrolle","nicht b.")))</f>
        <v>zu wenig GE</v>
      </c>
      <c r="JY19" s="75"/>
      <c r="JZ19" s="75"/>
      <c r="KA19" s="75"/>
      <c r="KB19" s="75"/>
      <c r="KG19" s="34"/>
      <c r="KJ19" s="4"/>
      <c r="KK19" s="5"/>
      <c r="KL19" s="8"/>
      <c r="KM19" s="16"/>
      <c r="KN19" s="4"/>
      <c r="KO19" s="5" t="str">
        <f>IF(COUNT(KO7:KO16)&lt;10,"zu wenig GE",IF(KO18=0,"bestanden",IF(KO18&lt;=2,"Kontrolle","nicht b.")))</f>
        <v>zu wenig GE</v>
      </c>
    </row>
    <row r="20" spans="2:301" ht="18.75" customHeight="1" x14ac:dyDescent="0.25">
      <c r="B20" s="412" t="s">
        <v>178</v>
      </c>
      <c r="C20" s="412"/>
      <c r="D20" s="412"/>
      <c r="E20" s="412"/>
      <c r="F20" s="173"/>
      <c r="G20" s="173"/>
      <c r="H20" s="173"/>
      <c r="I20" s="173"/>
      <c r="J20" s="173"/>
      <c r="K20" s="8"/>
      <c r="L20" s="8"/>
      <c r="M20" s="8" t="s">
        <v>290</v>
      </c>
      <c r="N20" s="81" t="str">
        <f>IFERROR(IF(D15="","fehlt","eingetragen"),"")</f>
        <v>fehlt</v>
      </c>
      <c r="O20" s="8"/>
      <c r="P20" s="8"/>
      <c r="Q20" s="81">
        <f>COUNTIF(Q16:Q17,"ja")</f>
        <v>0</v>
      </c>
      <c r="R20" s="73" t="s">
        <v>241</v>
      </c>
      <c r="AE20" s="76" t="s">
        <v>302</v>
      </c>
      <c r="AF20" s="201">
        <f>COUNTIF(AF7:AF17,"mangelhaft")</f>
        <v>0</v>
      </c>
      <c r="AL20" s="75"/>
      <c r="AM20" s="75"/>
      <c r="AN20" s="75"/>
      <c r="AO20" s="75"/>
      <c r="AT20" s="75"/>
      <c r="AU20" s="75"/>
      <c r="AV20" s="75"/>
      <c r="AW20" s="75"/>
      <c r="AX20" s="75"/>
      <c r="AY20" s="75"/>
      <c r="AZ20" s="75"/>
      <c r="BA20" s="75"/>
      <c r="BE20" s="34"/>
      <c r="BF20" s="34"/>
      <c r="BH20" s="313" t="str">
        <f>IF($Q$19=0,"",IF($Q$19=1,CONCATENATE("Die Leistungen im Fach",IF(Q16="nein",CONCATENATE(" ",B16),""),IF(Q17="nein",CONCATENATE(" ",B17),"")," fließen nicht in die Durchschnittsnote ein."),IF($Q$19&gt;1,CONCATENATE("Die Leistungen der Fächer",IF(Q16="nein",CONCATENATE(" ",B16),""),IF(Q17="nein",CONCATENATE(" und ",B17),"")," fließen nicht in die Durchschnittsnote ein."))))</f>
        <v/>
      </c>
      <c r="BI20" s="313"/>
      <c r="BJ20" s="313"/>
      <c r="BK20" s="313"/>
      <c r="BL20" s="313"/>
      <c r="BM20" s="5"/>
      <c r="BN20" s="34"/>
      <c r="BO20" s="34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5"/>
      <c r="CE20" s="75"/>
      <c r="CF20" s="75"/>
      <c r="CG20" s="75"/>
      <c r="CH20" s="76"/>
      <c r="CI20" s="76"/>
      <c r="CJ20" s="76"/>
      <c r="CK20" s="76"/>
      <c r="CL20" s="75"/>
      <c r="CM20" s="75"/>
      <c r="CN20" s="75"/>
      <c r="CO20" s="75"/>
      <c r="CP20" s="75"/>
      <c r="CQ20" s="75"/>
      <c r="CR20" s="75"/>
      <c r="CW20" s="34"/>
      <c r="CZ20" s="313" t="str">
        <f>IF($Q$19=0,"",IF($Q$19=1,CONCATENATE("Die Leistungen im Fach",IF(Q16="nein",CONCATENATE(" ",B16),""),IF(Q17="nein",CONCATENATE(" ",B17),"")," fließen nicht in die Durchschnittsnote ein."),IF($Q$19&gt;1,CONCATENATE("Die Leistungen der Fächer",IF(Q16="nein",CONCATENATE(" ",B16),""),IF(Q17="nein",CONCATENATE(" und ",B17),"")," fließen nicht in die Durchschnittsnote ein."))))</f>
        <v/>
      </c>
      <c r="DA20" s="313"/>
      <c r="DB20" s="313"/>
      <c r="DC20" s="313"/>
      <c r="DD20" s="313"/>
      <c r="FK20" s="312" t="s">
        <v>282</v>
      </c>
      <c r="FL20" s="312"/>
      <c r="FM20" s="256">
        <f>IFERROR(IF(COUNTIF(FK7:FO17,"vorschlagen")=0,0,COUNTIF(FK7:FO17,"vorschlagen")/2),"")</f>
        <v>0</v>
      </c>
      <c r="GG20" s="75"/>
      <c r="GH20" s="75"/>
      <c r="GI20" s="75"/>
      <c r="GJ20" s="75"/>
      <c r="GK20" s="75"/>
      <c r="GO20" s="34"/>
      <c r="GP20" s="34"/>
      <c r="GR20" s="313" t="str">
        <f>IF($Q$19=0,"",IF($Q$19=1,CONCATENATE("Die Leistungen im Fach",IF(Q16="nein",CONCATENATE(" ",B16),""),IF(Q17="nein",CONCATENATE(" ",B17),"")," fließen nicht in die Durchschnittsnote ein."),IF($Q$19&gt;1,CONCATENATE("Die Leistungen der Fächer",IF(Q16="nein",CONCATENATE(" ",B16),""),IF(Q17="nein",CONCATENATE(" und ",B17),"")," fließen nicht in die Durchschnittsnote ein."))))</f>
        <v/>
      </c>
      <c r="GS20" s="313"/>
      <c r="GT20" s="313"/>
      <c r="GU20" s="313"/>
      <c r="GV20" s="313"/>
      <c r="GW20" s="5"/>
      <c r="HI20" s="34"/>
      <c r="JC20" s="312" t="s">
        <v>282</v>
      </c>
      <c r="JD20" s="312"/>
      <c r="JE20" s="256">
        <f>IFERROR(IF(COUNTIF(JC7:JG17,"vorschlagen")=0,0,COUNTIF(JC7:JG17,"vorschlagen")/2),"")</f>
        <v>0</v>
      </c>
      <c r="JY20" s="75"/>
      <c r="JZ20" s="75"/>
      <c r="KA20" s="75"/>
      <c r="KB20" s="75"/>
      <c r="KG20" s="34"/>
      <c r="KJ20" s="313" t="str">
        <f>IF($Q$19=0,"",IF($Q$19=1,CONCATENATE("Die Leistungen im Fach",IF(Q16="nein",CONCATENATE(" ",B16),""),IF(Q17="nein",CONCATENATE(" ",B17),"")," fließen nicht in die Durchschnittsnote ein."),IF($Q$19&gt;1,CONCATENATE("Die Leistungen der Fächer",IF(Q16="nein",CONCATENATE(" ",B16),""),IF(Q17="nein",CONCATENATE(" und ",B17),"")," fließen nicht in die Durchschnittsnote ein."))))</f>
        <v/>
      </c>
      <c r="KK20" s="313"/>
      <c r="KL20" s="313"/>
      <c r="KM20" s="313"/>
      <c r="KN20" s="313"/>
      <c r="KO20" s="5"/>
    </row>
    <row r="21" spans="2:301" ht="18.75" customHeight="1" x14ac:dyDescent="0.25">
      <c r="B21" s="366" t="str">
        <f>IF(OR(B20="Bitte klicken zum Auswählen",B20="Fachgebundene Hochschulreife"),"","Zweite Fremdsprache für die Allgemeine Hochschulreife durch:")</f>
        <v/>
      </c>
      <c r="C21" s="366"/>
      <c r="D21" s="366"/>
      <c r="E21" s="366"/>
      <c r="F21" s="172"/>
      <c r="G21" s="172"/>
      <c r="H21" s="172"/>
      <c r="I21" s="172"/>
      <c r="J21" s="172"/>
      <c r="K21" s="8"/>
      <c r="L21" s="8"/>
      <c r="M21" s="8" t="s">
        <v>291</v>
      </c>
      <c r="N21" s="81" t="str">
        <f>IFERROR(IF(H9="","fehlt","eingetragen"),"")</f>
        <v>fehlt</v>
      </c>
      <c r="O21" s="8"/>
      <c r="P21" s="8"/>
      <c r="Q21" s="81"/>
      <c r="AE21" s="76" t="s">
        <v>303</v>
      </c>
      <c r="AF21" s="201">
        <f>COUNTIF(AF7:AF17,"ungenügend")</f>
        <v>0</v>
      </c>
      <c r="BE21" s="34"/>
      <c r="BF21" s="34"/>
      <c r="BG21" s="34"/>
      <c r="BH21" s="313"/>
      <c r="BI21" s="313"/>
      <c r="BJ21" s="313"/>
      <c r="BK21" s="313"/>
      <c r="BL21" s="313"/>
      <c r="BM21" s="34"/>
      <c r="BN21" s="34"/>
      <c r="BO21" s="34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W21" s="34"/>
      <c r="CZ21" s="313"/>
      <c r="DA21" s="313"/>
      <c r="DB21" s="313"/>
      <c r="DC21" s="313"/>
      <c r="DD21" s="313"/>
      <c r="FK21" s="312" t="s">
        <v>283</v>
      </c>
      <c r="FL21" s="312"/>
      <c r="FM21" s="256" t="str">
        <f>IFERROR(IF(AND($BH$24="BESTANDEN",FM20&gt;0),"ja","nein"),"")</f>
        <v>nein</v>
      </c>
      <c r="GG21" s="76"/>
      <c r="GH21" s="76"/>
      <c r="GI21" s="76"/>
      <c r="GJ21" s="76"/>
      <c r="GK21" s="76"/>
      <c r="GO21" s="34"/>
      <c r="GP21" s="34"/>
      <c r="GQ21" s="34"/>
      <c r="GR21" s="313"/>
      <c r="GS21" s="313"/>
      <c r="GT21" s="313"/>
      <c r="GU21" s="313"/>
      <c r="GV21" s="313"/>
      <c r="GW21" s="34"/>
      <c r="JC21" s="312" t="s">
        <v>283</v>
      </c>
      <c r="JD21" s="312"/>
      <c r="JE21" s="256" t="str">
        <f>IFERROR(IF(AND($B$20="Allgemeine Hochschulreife",$CZ$24="BESTANDEN",$JE20&gt;0),"ja","nein"),"")</f>
        <v>nein</v>
      </c>
      <c r="JY21" s="76"/>
      <c r="JZ21" s="76"/>
      <c r="KA21" s="76"/>
      <c r="KB21" s="76"/>
      <c r="KG21" s="34"/>
      <c r="KJ21" s="313"/>
      <c r="KK21" s="313"/>
      <c r="KL21" s="313"/>
      <c r="KM21" s="313"/>
      <c r="KN21" s="313"/>
      <c r="KO21" s="5"/>
    </row>
    <row r="22" spans="2:301" ht="18.75" customHeight="1" x14ac:dyDescent="0.25">
      <c r="B22" s="412" t="s">
        <v>178</v>
      </c>
      <c r="C22" s="412"/>
      <c r="D22" s="412"/>
      <c r="E22" s="412"/>
      <c r="F22" s="173"/>
      <c r="G22" s="173"/>
      <c r="H22" s="173"/>
      <c r="I22" s="173"/>
      <c r="J22" s="173"/>
      <c r="K22" s="8"/>
      <c r="L22" s="8"/>
      <c r="M22" s="8"/>
      <c r="N22" s="8"/>
      <c r="O22" s="8"/>
      <c r="P22" s="8"/>
      <c r="Q22" s="81">
        <f>COUNTIF(D7:E17,"k")</f>
        <v>0</v>
      </c>
      <c r="R22" s="73" t="s">
        <v>174</v>
      </c>
      <c r="AE22" s="76" t="s">
        <v>304</v>
      </c>
      <c r="AF22" s="201">
        <f>AF20+(2*AF21)</f>
        <v>0</v>
      </c>
      <c r="BB22" s="169" t="s">
        <v>22</v>
      </c>
      <c r="BC22" s="169"/>
      <c r="BD22" s="73"/>
      <c r="BE22" s="20" t="str">
        <f>IFERROR(IF($B$20="Bitte klicken zum Auswählen","",IF(COUNT(M7:N14,M16:N17)-(2*Q19)&lt;0,0,IF(COUNT(M7:N14,M16:N17)=0,"",COUNT(M7:N14,M16:N17)-(2*Q19)))),"")</f>
        <v/>
      </c>
      <c r="BF22" s="20"/>
      <c r="BG22" s="20"/>
      <c r="BH22" s="20"/>
      <c r="BI22" s="20"/>
      <c r="BJ22" s="20"/>
      <c r="BK22" s="20"/>
      <c r="BL22" s="20"/>
      <c r="BM22" s="20"/>
      <c r="BN22" s="20"/>
      <c r="BO22" s="35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T22" s="169" t="s">
        <v>22</v>
      </c>
      <c r="CU22" s="169"/>
      <c r="CV22" s="73"/>
      <c r="CW22" s="20" t="str">
        <f>IFERROR(IF($B$20="Bitte klicken zum Auswählen","",IF(AND($B$20="Allgemeine Hochschulreife",$B$22="Bitte klicken zum Auswählen"),"",IF(AND($B$20="Allgemeine Hochschulreife",$B$22&lt;&gt;"Ausgewiesenes Sprachniveau B1 durch andere Schule"),IF(COUNT(M7:N14,M16:N17)-(2*Q19)&lt;0,0,IF(COUNT(M7:N14,M16:N17)=0,"",COUNT(M7:N14,M16:N17)-(2*Q19))),""))),"")</f>
        <v/>
      </c>
      <c r="CZ22" s="18"/>
      <c r="DB22" s="8"/>
      <c r="DC22" s="16"/>
      <c r="FK22" s="312" t="s">
        <v>284</v>
      </c>
      <c r="FL22" s="312"/>
      <c r="FM22" s="161" t="str">
        <f>IFERROR(IF(FM25="X","inaktiv",IF(FM24="x","aktiv","")),"")</f>
        <v>aktiv</v>
      </c>
      <c r="GG22" s="76"/>
      <c r="GH22" s="76"/>
      <c r="GI22" s="76"/>
      <c r="GJ22" s="76"/>
      <c r="GK22" s="76"/>
      <c r="GL22" s="169" t="s">
        <v>22</v>
      </c>
      <c r="GM22" s="169"/>
      <c r="GN22" s="73"/>
      <c r="GO22" s="20" t="str">
        <f>IFERROR(IF(COUNT(M7:N14,M16:N17)-(2*Q19)&lt;0,0,IF(COUNT(M7:N14,M16:N17)=0,"",COUNT(M7:N14,M16:N17)-(2*Q19))),"")</f>
        <v/>
      </c>
      <c r="GP22" s="20"/>
      <c r="GQ22" s="20"/>
      <c r="GR22" s="20"/>
      <c r="GS22" s="20"/>
      <c r="GT22" s="20"/>
      <c r="GU22" s="20"/>
      <c r="GV22" s="20"/>
      <c r="GW22" s="20"/>
      <c r="JC22" s="312" t="s">
        <v>284</v>
      </c>
      <c r="JD22" s="312"/>
      <c r="JE22" s="161" t="str">
        <f>IFERROR(IF(JE25="X","inaktiv",IF(JE24="x","aktiv","")),"")</f>
        <v>aktiv</v>
      </c>
      <c r="JY22" s="76"/>
      <c r="JZ22" s="76"/>
      <c r="KA22" s="76"/>
      <c r="KB22" s="76"/>
      <c r="KD22" s="169" t="s">
        <v>22</v>
      </c>
      <c r="KE22" s="169"/>
      <c r="KF22" s="73"/>
      <c r="KG22" s="20" t="str">
        <f>IFERROR(IF($B$20="Bitte klicken zum Auswählen","",IF(AND($B$20="Allgemeine Hochschulreife",$B$22="Bitte klicken zum Auswählen"),"",IF(AND($B$20="Allgemeine Hochschulreife",$B$22&lt;&gt;"Ausgewiesenes Sprachniveau B1 durch andere Schule"),IF(COUNT(M7:N14,M16:N17)-(2*Q19)&lt;0,0,IF(COUNT(M7:N14,M16:N17)=0,"",COUNT(M7:N14,M16:N17)-(2*Q19))),""))),"")</f>
        <v/>
      </c>
      <c r="KJ22" s="18"/>
      <c r="KK22" s="5"/>
      <c r="KL22" s="8"/>
      <c r="KM22" s="16"/>
      <c r="KN22" s="4"/>
      <c r="KO22" s="5"/>
    </row>
    <row r="23" spans="2:301" ht="18.75" customHeight="1" x14ac:dyDescent="0.25">
      <c r="B23" s="169"/>
      <c r="C23" s="20"/>
      <c r="D23" s="17" t="str">
        <f>IF(OR(B22="Französisch fortgeführt (nur in Jgst. 12)",B22="Spanisch fortgeführt (nur in Jgst. 12)"),"12/1","")</f>
        <v/>
      </c>
      <c r="E23" s="17" t="str">
        <f>IF(OR(B22="Französisch fortgeführt (nur in Jgst. 12)",B22="Spanisch fortgeführt (nur in Jgst. 12)"),"12/2","")</f>
        <v/>
      </c>
      <c r="F23" s="17"/>
      <c r="G23" s="17"/>
      <c r="H23" s="17"/>
      <c r="I23" s="17"/>
      <c r="J23" s="17"/>
      <c r="K23" s="42"/>
      <c r="L23" s="42"/>
      <c r="M23" s="42"/>
      <c r="N23" s="42"/>
      <c r="O23" s="42"/>
      <c r="P23" s="42"/>
      <c r="Q23" s="82" t="str">
        <f>IF(Q22&gt;MAX(AP7:AP17),"JA","NEIN")</f>
        <v>NEIN</v>
      </c>
      <c r="R23" s="73" t="s">
        <v>176</v>
      </c>
      <c r="AE23" s="76" t="s">
        <v>305</v>
      </c>
      <c r="AF23" s="201">
        <f>IFERROR(IF(SUM($M$7:$N$14,$M$16:$N$17)="",0,SUM($M$7:$N$14,$M$16:$N$17)),"")</f>
        <v>0</v>
      </c>
      <c r="BB23" s="169" t="s">
        <v>30</v>
      </c>
      <c r="BC23" s="169"/>
      <c r="BD23" s="73"/>
      <c r="BE23" s="20" t="str">
        <f>IFERROR(IF(BE22="","",COUNTIF(AT7:AU17,"aus")),"")</f>
        <v/>
      </c>
      <c r="BF23" s="20"/>
      <c r="BG23" s="20"/>
      <c r="BH23" s="170"/>
      <c r="BI23" s="170"/>
      <c r="BJ23" s="170"/>
      <c r="BK23" s="170"/>
      <c r="BL23" s="170"/>
      <c r="BM23" s="170"/>
      <c r="BN23" s="20"/>
      <c r="BO23" s="35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T23" s="169" t="s">
        <v>30</v>
      </c>
      <c r="CU23" s="169"/>
      <c r="CV23" s="73"/>
      <c r="CW23" s="20" t="str">
        <f>IFERROR(IF(AND($B$20="Allgemeine Hochschulreife",$B$22&lt;&gt;"Ausgewiesenes Sprachniveau B1 durch andere Schule"),IF(CW22="","",COUNTIF(CL7:CM17,"aus")),""),"")</f>
        <v/>
      </c>
      <c r="CZ23" s="19"/>
      <c r="DB23" s="8"/>
      <c r="DC23" s="16"/>
      <c r="GG23" s="76"/>
      <c r="GH23" s="76"/>
      <c r="GI23" s="76"/>
      <c r="GJ23" s="76"/>
      <c r="GK23" s="76"/>
      <c r="GL23" s="169" t="s">
        <v>30</v>
      </c>
      <c r="GM23" s="169"/>
      <c r="GN23" s="73"/>
      <c r="GO23" s="20" t="str">
        <f>IFERROR(IF(GO22="","",COUNTIF(GD7:GE17,"aus")),"")</f>
        <v/>
      </c>
      <c r="GP23" s="20"/>
      <c r="GQ23" s="20"/>
      <c r="GR23" s="170"/>
      <c r="GS23" s="170"/>
      <c r="GT23" s="170"/>
      <c r="GU23" s="170"/>
      <c r="GV23" s="170"/>
      <c r="GW23" s="170"/>
      <c r="JY23" s="76"/>
      <c r="JZ23" s="76"/>
      <c r="KA23" s="76"/>
      <c r="KB23" s="76"/>
      <c r="KD23" s="169" t="s">
        <v>30</v>
      </c>
      <c r="KE23" s="169"/>
      <c r="KF23" s="73"/>
      <c r="KG23" s="20" t="str">
        <f>IFERROR(IF(AND($B$20="Allgemeine Hochschulreife",$B$22&lt;&gt;"Ausgewiesenes Sprachniveau B1 durch andere Schule"),IF(KG22="","",COUNTIF(JV7:JW17,"aus")),""),"")</f>
        <v/>
      </c>
      <c r="KJ23" s="19"/>
      <c r="KK23" s="5"/>
      <c r="KL23" s="8"/>
      <c r="KM23" s="16"/>
      <c r="KN23" s="4"/>
      <c r="KO23" s="5"/>
    </row>
    <row r="24" spans="2:301" ht="18.75" customHeight="1" x14ac:dyDescent="0.25">
      <c r="B24" s="301" t="str">
        <f>IF(B22="Spanisch fortgeführt (nur in Jgst. 12)","Halbjahresleistungen in Spanisch fortgeführt:",
IF(B22="Französisch fortgeführt (nur in Jgst. 12)","Halbjahresleistungen in Französisch fortgeführt:",
IF(B22="Ergänzungsprüfung","Ergänzungsprüfung (Gesamtpunktzahl):","")))</f>
        <v/>
      </c>
      <c r="C24" s="301"/>
      <c r="D24" s="51"/>
      <c r="E24" s="51"/>
      <c r="F24" s="171"/>
      <c r="G24" s="171"/>
      <c r="H24" s="171"/>
      <c r="I24" s="171"/>
      <c r="J24" s="173"/>
      <c r="K24" s="8"/>
      <c r="L24" s="8"/>
      <c r="M24" s="8"/>
      <c r="N24" s="8"/>
      <c r="O24" s="8"/>
      <c r="P24" s="8"/>
      <c r="Q24" s="81"/>
      <c r="AE24" s="76" t="s">
        <v>308</v>
      </c>
      <c r="AF24" s="201">
        <f>IFERROR(IF($M$15="",0,2*$M$15),"")</f>
        <v>0</v>
      </c>
      <c r="BB24" s="301" t="s">
        <v>23</v>
      </c>
      <c r="BC24" s="301"/>
      <c r="BD24" s="301"/>
      <c r="BE24" s="43" t="str">
        <f>IFERROR(IF(BE22="","",BE22-BE23),"")</f>
        <v/>
      </c>
      <c r="BF24" s="43"/>
      <c r="BG24" s="39"/>
      <c r="BH24" s="314" t="str">
        <f>IFERROR(IF($B$20="Bitte klicken zum Auswählen","Kein Abschluss ausgewählt.",
IF($Q$23="JA","NICHT BESTANDEN",
IF(OR(K15="zu wenig APE",N19="HJL fehlt",N20="fehlt",N21="fehlt"),"Eingaben unvollständig",
IF($D$15=0,"NICHT BESTANDEN",
IF(AND($K$15="bestanden",$BM$19="bestanden"),"BESTANDEN",
IF(AND($K$15="bestanden",$BM$19="Kontrolle",$BM$18=1,$BE$27&gt;=130),"BESTANDEN",
IF(AND($K$15="bestanden",$BM$19="Kontrolle",$BM$18=2,$BE$27&gt;=156),"BESTANDEN","NICHT BESTANDEN"))))))),"")</f>
        <v>Kein Abschluss ausgewählt.</v>
      </c>
      <c r="BI24" s="314"/>
      <c r="BJ24" s="314"/>
      <c r="BK24" s="314"/>
      <c r="BL24" s="314"/>
      <c r="BM24" s="150"/>
      <c r="BN24" s="43"/>
      <c r="BO24" s="3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T24" s="301" t="s">
        <v>23</v>
      </c>
      <c r="CU24" s="301"/>
      <c r="CV24" s="301"/>
      <c r="CW24" s="43" t="str">
        <f>IFERROR(IF(AND($B$20="Allgemeine Hochschulreife",$B$22&lt;&gt;"Ausgewiesenes Sprachniveau B1 durch andere Schule"),IF(CW22="","",CW22-CW23),""),"")</f>
        <v/>
      </c>
      <c r="CY24" s="149"/>
      <c r="CZ24" s="302" t="str">
        <f>IFERROR(IF($B$20="Bitte klicken zum Auswählen","Kein Abschluss ausgewählt.",
IF($B$20="Fachgebundene Hochschulreife","Die Allgemeine Hochschulreife wird nicht angestrebt.",
IF(AND($B$20="Allgemeine Hochschulreife",$B$22="Bitte klicken zum Auswählen"),"Kein Nachweis der zweiten Fremdsprache ausgewählt.",
IF(OR(K15="zu wenig APE",N19="HJL fehlt",N20="fehlt",N21="fehlt"),"Eingaben unvollständig",
IF(AND($B$20="Allgemeine Hochschulreife",$CU$15=0),"NICHT BESTANDEN",
IF(AND($B$20="Allgemeine Hochschulreife",$B$22="Ausgewiesenes Sprachniveau B1 durch andere Schule",$BH$24="NICHT BESTANDEN"),"Bei bestandener Fachgebundener Hochschulreife wird die Allgemeine Hochschulreife verliehen.",
IF(AND($B$20="Allgemeine Hochschulreife",$B$22="Ausgewiesenes Sprachniveau B1 durch andere Schule",$BH$24="BESTANDEN"),"Allgemeine Hochschulreife wird verliehen.",
IF(AND(AND($B$20="Allgemeine Hochschulreife",$B$22&lt;&gt;"Ausgewiesenes Sprachniveau B1 durch andere Schule"),$Q$23="JA"),"NICHT BESTANDEN",
IF($B$25="Die Eingabe der belegten zweiten Fremdsprache als Wahlpflichtfach ist zwingend erforderlich.","NICHT BESTANDEN",
IF(MID($B$26,1,35)="Kein nachgewiesenes Sprachniveau B1","NICHT BESTANDEN",
IF(AND($B$20="Allgemeine Hochschulreife",$B$22&lt;&gt;"Ausgewiesenes Sprachniveau B1 durch andere Schule"),
IF(OR($B$22="Ergänzungsprüfung",$B$22="Spanisch fortgeführt (nur in Jgst. 12)",$B$22="Französisch fortgeführt (nur in Jgst. 12)"),IF(AND($K$15="bestanden",$DE$19="bestanden"),"BESTANDEN",
IF(AND($K$15="bestanden",$DE$19="Kontrolle",$DE$18=1,$CW$28&gt;=140),"BESTANDEN",
IF(AND($K$15="bestanden",$DE$19="Kontrolle",$DE$18=2,$CW$28&gt;=168),"BESTANDEN","NICHT BESTANDEN"))),
IF(AND($K$15="bestanden",$DE$19="bestanden"),"BESTANDEN",
IF(AND($K$15="bestanden",$DE$19="Kontrolle",$DE$18=1,$CW$28&gt;=130),"BESTANDEN",
IF(AND($K$15="bestanden",$DE$19="Kontrolle",$DE$18=2,$CW$28&gt;=156),"BESTANDEN","NICHT BESTANDEN")))),""))))))))))),"")</f>
        <v>Kein Abschluss ausgewählt.</v>
      </c>
      <c r="DA24" s="302"/>
      <c r="DB24" s="302"/>
      <c r="DC24" s="302"/>
      <c r="DD24" s="302"/>
      <c r="FL24" s="160" t="s">
        <v>286</v>
      </c>
      <c r="FM24" s="76" t="s">
        <v>287</v>
      </c>
      <c r="GG24" s="76"/>
      <c r="GH24" s="76"/>
      <c r="GI24" s="76"/>
      <c r="GJ24" s="76"/>
      <c r="GK24" s="76"/>
      <c r="GL24" s="301" t="s">
        <v>23</v>
      </c>
      <c r="GM24" s="301"/>
      <c r="GN24" s="301"/>
      <c r="GO24" s="43" t="str">
        <f>IFERROR(IF(GO22="","",GO22-GO23),"")</f>
        <v/>
      </c>
      <c r="GP24" s="43"/>
      <c r="GQ24" s="39"/>
      <c r="GR24" s="314" t="str">
        <f>IFERROR(IF($B$20="Bitte klicken zum Auswählen","Kein Abschluss ausgewählt.",
IF($Q$23="JA","NICHT BESTANDEN",
IF(OR(K15="zu wenig APE",N19="HJL fehlt",N20="fehlt",N21="fehlt"),"Eingaben unvollständig",
IF($D$15=0,"NICHT BESTANDEN",
IF(AND($K$15="bestanden",$GW$19="bestanden"),"BESTANDEN",
IF(AND($K$15="bestanden",$GW$19="Kontrolle",$GW$18=1,$GO$27&gt;=130),"BESTANDEN",
IF(AND($K$15="bestanden",$GW$19="Kontrolle",$GW$18=2,$GO$27&gt;=156),"BESTANDEN","NICHT BESTANDEN"))))))),"")</f>
        <v>Kein Abschluss ausgewählt.</v>
      </c>
      <c r="GS24" s="314"/>
      <c r="GT24" s="314"/>
      <c r="GU24" s="314"/>
      <c r="GV24" s="314"/>
      <c r="GW24" s="150"/>
      <c r="JD24" s="160" t="s">
        <v>286</v>
      </c>
      <c r="JE24" s="76" t="s">
        <v>287</v>
      </c>
      <c r="JY24" s="76"/>
      <c r="JZ24" s="76"/>
      <c r="KA24" s="76"/>
      <c r="KB24" s="76"/>
      <c r="KD24" s="301" t="s">
        <v>23</v>
      </c>
      <c r="KE24" s="301"/>
      <c r="KF24" s="301"/>
      <c r="KG24" s="43" t="str">
        <f>IFERROR(IF(AND($B$20="Allgemeine Hochschulreife",$B$22&lt;&gt;"Ausgewiesenes Sprachniveau B1 durch andere Schule"),IF(KG22="","",KG22-KG23),""),"")</f>
        <v/>
      </c>
      <c r="KI24" s="149"/>
      <c r="KJ24" s="302" t="str">
        <f>IFERROR(IF($B$20="Bitte klicken zum Auswählen","Kein Abschluss ausgewählt.",
IF($B$20="Fachgebundene Hochschulreife","Die Allgemeine Hochschulreife wird nicht angestrebt.",
IF(AND($B$20="Allgemeine Hochschulreife",$B$22="Bitte klicken zum Auswählen"),"Kein Nachweis der zweiten Fremdsprache ausgewählt.",IF(OR(K15="zu wenig APE",N19="HJL fehlt",N20="fehlt",N21="fehlt"),"Eingaben unvollständig",
IF(AND($B$20="Allgemeine Hochschulreife",$CU$15=0),"NICHT BESTANDEN",
IF(AND($B$20="Allgemeine Hochschulreife",$B$22="Ausgewiesenes Sprachniveau B1 durch andere Schule",$BH$24="NICHT BESTANDEN"),"Bei bestandener Fachgebundener Hochschulreife wird die Allgemeine Hochschulreife verliehen.",
IF(AND($B$20="Allgemeine Hochschulreife",$B$22="Ausgewiesenes Sprachniveau B1 durch andere Schule",$BH$24="BESTANDEN"),"Allgemeine Hochschulreife wird verliehen.",
IF(AND(AND($B$20="Allgemeine Hochschulreife",$B$22&lt;&gt;"Ausgewiesenes Sprachniveau B1 durch andere Schule"),$Q$23="JA"),"NICHT BESTANDEN",
IF($B$25="Die Eingabe der belegten zweiten Fremdsprache als Wahlpflichtfach ist zwingend erforderlich.","NICHT BESTANDEN",
IF(MID($B$26,1,35)="Kein nachgewiesenes Sprachniveau B1","NICHT BESTANDEN",
IF(AND($B$20="Allgemeine Hochschulreife",$B$22&lt;&gt;"Ausgewiesenes Sprachniveau B1 durch andere Schule"),
IF(OR($B$22="Ergänzungsprüfung",$B$22="Spanisch fortgeführt (nur in Jgst. 12)",$B$22="Französisch fortgeführt (nur in Jgst. 12)"),IF(AND($K$15="bestanden",$KO$19="bestanden"),"BESTANDEN",
IF(AND($K$15="bestanden",$KO$19="Kontrolle",$KO$18=1,$KG$28&gt;=140),"BESTANDEN",
IF(AND($K$15="bestanden",$KO$19="Kontrolle",$KO$18=2,$KG$28&gt;=168),"BESTANDEN","NICHT BESTANDEN"))),
IF(AND($K$15="bestanden",$KO$19="bestanden"),"BESTANDEN",
IF(AND($K$15="bestanden",$KO$19="Kontrolle",$KO$18=1,$KG$28&gt;=130),"BESTANDEN",
IF(AND($K$15="bestanden",$KO$19="Kontrolle",$KO$18=2,$KG$28&gt;=156),"BESTANDEN","NICHT BESTANDEN")))),""))))))))))),"")</f>
        <v>Kein Abschluss ausgewählt.</v>
      </c>
      <c r="KK24" s="302"/>
      <c r="KL24" s="302"/>
      <c r="KM24" s="302"/>
      <c r="KN24" s="302"/>
      <c r="KO24" s="5"/>
    </row>
    <row r="25" spans="2:301" ht="37.5" customHeight="1" x14ac:dyDescent="0.25">
      <c r="B25" s="299" t="str">
        <f>IF($B$22&lt;&gt;"Belegung als Wahlpflichtfach (in Jgst. 13)","",
IF(AND($B$22="Belegung als Wahlpflichtfach (in Jgst. 13)",OR($B$16="Spanisch",$B$16="Französisch",$B$16="Spanisch fortgeführt",$B$16="Französisch fortgeführt")),"Zweite Fremdsprache: "&amp;$B$16,
IF(AND($B$22="Belegung als Wahlpflichtfach (in Jgst. 13)",OR($B$16&lt;&gt;"Spanisch",$B$16&lt;&gt;"Französisch",$B$16&lt;&gt;"Spanisch fortgeführt",$B$16&lt;&gt;"Französisch fortgeführt")),
IF(AND($B$22="Belegung als Wahlpflichtfach (in Jgst. 13)",OR($B$17="Spanisch",$B$17="Französisch",$B$17="Spanisch fortgeführt",$B$17="Französisch fortgeführt")),"Zweite Fremdsprache: "&amp;B17,
IF(AND($B$22="Belegung als Wahlpflichtfach (in Jgst. 13)",OR($B$17&lt;&gt;"Spanisch",$B$17&lt;&gt;"Französisch",$B$17&lt;&gt;"Spanisch fortgeführt",$B$17&lt;&gt;"Französisch fortgeführt")),"Die Eingabe der belegten zweiten Fremdsprache als Wahlpflichtfach ist zwingend erforderlich.","")))))</f>
        <v/>
      </c>
      <c r="C25" s="299"/>
      <c r="D25" s="299"/>
      <c r="E25" s="299"/>
      <c r="F25" s="171"/>
      <c r="G25" s="171"/>
      <c r="H25" s="171"/>
      <c r="I25" s="171"/>
      <c r="J25" s="171"/>
      <c r="AE25" s="76" t="s">
        <v>306</v>
      </c>
      <c r="AF25" s="201">
        <f>IFERROR(IF(SUM($O$8,$O$9,$O$11,$O$12)="",0,SUM($O$8,$O$9,$O$11,$O$12)*2),"")</f>
        <v>0</v>
      </c>
      <c r="BB25" s="273" t="s">
        <v>55</v>
      </c>
      <c r="BC25" s="273"/>
      <c r="BD25" s="273"/>
      <c r="BE25" s="20" t="str">
        <f>IFERROR(IF(BE22="","",SUM(AW7:AX17)),"")</f>
        <v/>
      </c>
      <c r="BF25" s="20"/>
      <c r="BG25" s="39"/>
      <c r="BH25" s="314"/>
      <c r="BI25" s="314"/>
      <c r="BJ25" s="314"/>
      <c r="BK25" s="314"/>
      <c r="BL25" s="314"/>
      <c r="BM25" s="170"/>
      <c r="BN25" s="20"/>
      <c r="BO25" s="37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T25" s="273" t="s">
        <v>55</v>
      </c>
      <c r="CU25" s="273"/>
      <c r="CV25" s="273"/>
      <c r="CW25" s="20" t="str">
        <f>IFERROR(IF(CW22="","",SUM(CO7:CP17)),"")</f>
        <v/>
      </c>
      <c r="CY25" s="149"/>
      <c r="CZ25" s="302"/>
      <c r="DA25" s="302"/>
      <c r="DB25" s="302"/>
      <c r="DC25" s="302"/>
      <c r="DD25" s="302"/>
      <c r="FL25" s="160" t="s">
        <v>285</v>
      </c>
      <c r="FM25" s="76"/>
      <c r="GG25" s="76"/>
      <c r="GH25" s="76"/>
      <c r="GI25" s="76"/>
      <c r="GJ25" s="76"/>
      <c r="GK25" s="76"/>
      <c r="GL25" s="273" t="s">
        <v>55</v>
      </c>
      <c r="GM25" s="273"/>
      <c r="GN25" s="273"/>
      <c r="GO25" s="20" t="str">
        <f>IFERROR(IF(GO22="","",SUM(GG7:GH17)),"")</f>
        <v/>
      </c>
      <c r="GP25" s="20"/>
      <c r="GQ25" s="39"/>
      <c r="GR25" s="314"/>
      <c r="GS25" s="314"/>
      <c r="GT25" s="314"/>
      <c r="GU25" s="314"/>
      <c r="GV25" s="314"/>
      <c r="GW25" s="170"/>
      <c r="JD25" s="160" t="s">
        <v>285</v>
      </c>
      <c r="JE25" s="76"/>
      <c r="JY25" s="76"/>
      <c r="JZ25" s="76"/>
      <c r="KA25" s="76"/>
      <c r="KB25" s="76"/>
      <c r="KD25" s="273" t="s">
        <v>55</v>
      </c>
      <c r="KE25" s="273"/>
      <c r="KF25" s="273"/>
      <c r="KG25" s="20" t="str">
        <f>IFERROR(IF(KG22="","",SUM(JY7:JZ17)),"")</f>
        <v/>
      </c>
      <c r="KI25" s="149"/>
      <c r="KJ25" s="302"/>
      <c r="KK25" s="302"/>
      <c r="KL25" s="302"/>
      <c r="KM25" s="302"/>
      <c r="KN25" s="302"/>
      <c r="KO25" s="5"/>
    </row>
    <row r="26" spans="2:301" ht="37.5" customHeight="1" x14ac:dyDescent="0.25">
      <c r="B26" s="299" t="str">
        <f>IF($B$22="Bitte klicken zum Auswählen","",
IF(AND($B$22="Französisch/Spanisch als Profilfach 2",OR(IF(ISERROR(AVERAGE($D$13:$E$13)),0,AVERAGE($D$13:$E$13))&lt;3.5,E13&lt;4)),CONCATENATE("Kein nachgewiesenes Sprachniveau B1 in ",$B$13," als Profilfach 2."),
IF(AND(AND($B$22="Belegung als Wahlpflichtfach (in Jgst. 13)",OR($B$16="Spanisch",$B$16="Französisch",$B$16="Spanisch fortgeführt",$B$16="Französisch fortgeführt")),OR(IF(ISERROR(AVERAGE($D$16:$E$16)),0,AVERAGE($D$16:$E$16))&lt;3.5,E16&lt;4)),CONCATENATE("Kein nachgewiesenes Sprachniveau B1 in ",$B$16,"."),
IF(AND(AND($B$22="Belegung als Wahlpflichtfach (in Jgst. 13)",OR($B$17="Spanisch",$B$17="Französisch",$B$17="Spanisch fortgeführt",$B$17="Französisch fortgeführt")),OR(IF(ISERROR(AVERAGE($D$17:$E$17)),0,AVERAGE($D$17:$E$17))&lt;3.5,E17&lt;4)),CONCATENATE("Kein nachgewiesenes Sprachniveau B1 in ",$B$17,"."),
IF(OR(AND($B$22="Französisch fortgeführt (nur in Jgst. 12)",COUNT($D$24:$E$24)&lt;2),AND($B$22="Spanisch fortgeführt (nur in Jgst. 12)",COUNT($D$24:$E$24)&lt;2)),CONCATENATE("Kein nachgewiesenes Sprachniveau B1 in ",
IF(B22="Französisch fortgeführt (nur in Jgst. 12)","Französisch fortgeführt.",
IF(B22="Spanisch fortgeführt (nur in Jgst. 12)","Spanisch fortgeführt.",""))),
IF(OR(AND($B$22="Spanisch fortgeführt (nur in Jgst. 12)",OR($E$24&lt;4,IF(ISERROR(AVERAGE($D$24:$E$24)),0,AVERAGE($D$24:$E$24))&lt;3.5)),AND($B$22="Französisch fortgeführt (nur in Jgst. 12)",OR($E$24&lt;4,IF(ISERROR(AVERAGE($D$24:$E$24)),0,AVERAGE($D$24:$E$24))&lt;3.5))),CONCATENATE("Kein nachgewiesenes Sprachniveau B1 in ",
IF($B$22="Französisch fortgeführt (nur in Jgst. 12)","Französisch fortgeführt.",
IF($B$22="Spanisch fortgeführt (nur in Jgst. 12)","Spanisch fortgeführt.",""))),
IF(AND($B$22="Ergänzungsprüfung",$D$24&lt;4),"Kein nachgewiesenes Sprachniveau B1 durch die Ergänzungsprüfung.","")))))))</f>
        <v/>
      </c>
      <c r="C26" s="299"/>
      <c r="D26" s="299"/>
      <c r="E26" s="299"/>
      <c r="F26" s="171"/>
      <c r="G26" s="171"/>
      <c r="H26" s="171"/>
      <c r="I26" s="171"/>
      <c r="J26" s="171"/>
      <c r="K26" s="83"/>
      <c r="L26" s="83"/>
      <c r="M26" s="83"/>
      <c r="N26" s="83"/>
      <c r="O26" s="83"/>
      <c r="P26" s="83"/>
      <c r="AD26" s="389" t="s">
        <v>309</v>
      </c>
      <c r="AE26" s="389"/>
      <c r="AF26" s="201">
        <f>IFERROR(IF(SUM($AB$7:$AD$17)="",0,SUM($AB$7:$AD$17)),"")</f>
        <v>0</v>
      </c>
      <c r="BB26" s="273" t="s">
        <v>56</v>
      </c>
      <c r="BC26" s="273"/>
      <c r="BD26" s="273"/>
      <c r="BE26" s="20" t="str">
        <f>IFERROR(IF(BE22="","",SUM(BE25+IF(BC15="",0,2*BC15))),"")</f>
        <v/>
      </c>
      <c r="BF26" s="20"/>
      <c r="BG26" s="40"/>
      <c r="BH26" s="298" t="str">
        <f>IFERROR(IF($B$20="Bitte klicken zum Auswählen","",
IF($Q$23="JA","Zu viele Halbjahre ohne mögliche Notenbildung",
IF(AND(BH24="Eingaben unvollständig",N19="HJL fehlt"),"Zu wenig HJL eingetragen",
IF(AND(BH24="Eingaben unvollständig",K15="zu wenig APE"),"Zu wenig AP-Ergebnisse eingetragen",
IF(AND(BH24="Eingaben unvollständig",N20="fehlt"),"Seminar fehlt",
IF(AND(BH24="Eingaben unvollständig",N21="fehlt"),"Gruppenprüfung Englisch fehlt",
IF($D$15=0,"Seminar mit 0 Punkten",
IF(BM19="nicht b.","3 Gesamtergebnisse unter 4 Punkten",
IF(AND(K13&gt;5,K15="nicht b."),"mind. 1 AP-Ergebnis mit 0 Punkten",
IF(AND(K13&lt;5,K15="nicht b."),"3 AP-Ergebnisse mit 1, 2 oder 3 Punkten",
IF(AND(BM19="Kontrolle",BM18=1,BE27&lt;130),"1 GE unter 4 Punkten und Punktesumme unter 130",
IF(AND(BM19="Kontrolle",BM18=2,BE27&lt;156),"2 GE unter 4 Punkten und Punktesumme unter 156","")))))))))))),"")</f>
        <v/>
      </c>
      <c r="BI26" s="298"/>
      <c r="BJ26" s="298"/>
      <c r="BK26" s="298"/>
      <c r="BL26" s="298"/>
      <c r="BM26" s="170"/>
      <c r="BN26" s="20"/>
      <c r="BO26" s="37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T26" s="273" t="s">
        <v>56</v>
      </c>
      <c r="CU26" s="273"/>
      <c r="CV26" s="273"/>
      <c r="CW26" s="20" t="str">
        <f>IFERROR(IF(CW22="","",IF(CU15="",CW25,SUM(CW25+(2*CU15)))),"")</f>
        <v/>
      </c>
      <c r="CY26" s="151"/>
      <c r="CZ26" s="298" t="str">
        <f>IFERROR(IF($B$20="Bitte klicken zum Auswählen","",
IF(OR($CZ$24="Die Allgemeine Hochschulreife wird nicht angestrebt.",$CZ$24="Kein Nachweis der zweiten Fremdsprache ausgewählt."),"",
IF(AND($B$20="Allgemeine Hochschulreife",$B$22="Ausgewiesenes Sprachniveau B1 durch andere Schule"),"",
IF($B$25="Die Eingabe der belegten zweiten Fremdsprache als Wahlpflichtfach ist zwingend erforderlich.","Keine zweite Fremdsprache belegt.",
IF($Q$23="JA","Zu viele Halbjahre ohne mögliche Notenbildung",
IF(AND(CZ24="Eingaben unvollständig",N19="HJL fehlt"),"Zu wenig HJL eingetragen",
IF(AND(CZ24="Eingaben unvollständig",K15="zu wenig APE"),"Zu wenig AP-Ergebnisse eingetragen",
IF(AND(CZ24="Eingaben unvollständig",N20="fehlt"),"Seminar fehlt",
IF(AND(CZ24="Eingaben unvollständig",N21="fehlt"),"Gruppenprüfung Englisch fehlt",
IF($CU$15=0,"Seminar mit 0 Punkten",
IF(MID($B$26,1,35)="Kein nachgewiesenes Sprachniveau B1","Kein nachgewiesenes Sprachniveau B1.",
IF($DE$19="nicht b.","3 Gesamtergebnisse unter 4 Punkten",
IF(AND($K$13&gt;5,$K$15="nicht b."),"mind. 1 AP-Ergebnis mit 0 Punkten",
IF(AND($K$13&lt;5,$K$15="nicht b."),"3 AP-Ergebnisse mit 1, 2 oder 3 Punkten",
IF(AND($DE$19="Kontrolle",$DE$18=1,$CW$28&lt;130),"1 GE unter 4 Punkten und Punktesumme unter 130",
IF(AND($DE$19="Kontrolle",$DE$18=2,$CW$28&lt;156),"2 GE unter 4 Punkten und Punktesumme unter 156",
IF(AND($DE$19="Kontrolle",$DE$18=1,$CW$28&lt;140,OR($B$22="Ergänzungsprüfung",$B$22="Spanisch fortgeführt (nur in Jgst. 12)",$B$22="Französisch fortgeführt (nur in Jgst. 12)")),"1 GE unter 4 Punkten und Punktesumme unter 140",
IF(AND($DE$19="Kontrolle",$DE$18=2,$CW$28&lt;168,OR($B$22="Ergänzungsprüfung",$B$22="Spanisch fortgeführt (nur in Jgst. 12)",$B$22="Französisch fortgeführt (nur in Jgst. 12)")),"2 GE unter 4 Punkten und Punktesumme unter 168","")))))))))))))))))),"")</f>
        <v/>
      </c>
      <c r="DA26" s="298"/>
      <c r="DB26" s="298"/>
      <c r="DC26" s="298"/>
      <c r="DD26" s="298"/>
      <c r="GG26" s="76"/>
      <c r="GH26" s="76"/>
      <c r="GI26" s="76"/>
      <c r="GJ26" s="76"/>
      <c r="GK26" s="76"/>
      <c r="GL26" s="273" t="s">
        <v>56</v>
      </c>
      <c r="GM26" s="273"/>
      <c r="GN26" s="273"/>
      <c r="GO26" s="20" t="str">
        <f>IFERROR(IF(GO22="","",SUM(GO25+IF(GM15="",0,2*GM15))),"")</f>
        <v/>
      </c>
      <c r="GP26" s="20"/>
      <c r="GQ26" s="40"/>
      <c r="GR26" s="298" t="str">
        <f>IFERROR(IF($B$20="Bitte klicken zum Auswählen","",
IF($Q$23="JA","Zu viele Halbjahre ohne mögliche Notenbildung",
IF(AND(BH24="Eingaben unvollständig",N19="HJL fehlt"),"Zu wenig HJL eingetragen",
IF(AND(BH24="Eingaben unvollständig",K15="zu wenig APE"),"Zu wenig AP-Ergebnisse eingetragen",
IF(AND(BH24="Eingaben unvollständig",N20="fehlt"),"Seminar fehlt",
IF(AND(BH24="Eingaben unvollständig",N21="fehlt"),"Gruppenprüfung Englisch fehlt",
IF($D$15=0,"Seminar mit 0 Punkten",
IF($GW$19="nicht b.","3 Gesamtergebnisse unter 4 Punkten",
IF(AND($K$13&gt;5,$K$15="nicht b."),"mind. 1 AP-Ergebnis mit 0 Punkten",
IF(AND($K$13&lt;5,$K$15="nicht b."),"3 AP-Ergebnisse mit 1, 2 oder 3 Punkten",
IF(AND($GW$19="Kontrolle",$GW$18=1,$GO$27&lt;130),"1 GE unter 4 Punkten und Punktesumme unter 130",
IF(AND($GW$19="Kontrolle",$GW$18=2,$GO$27&lt;156),"2 GE unter 4 Punkten und Punktesumme unter 156","")))))))))))),"")</f>
        <v/>
      </c>
      <c r="GS26" s="298"/>
      <c r="GT26" s="298"/>
      <c r="GU26" s="298"/>
      <c r="GV26" s="298"/>
      <c r="GW26" s="170"/>
      <c r="JY26" s="76"/>
      <c r="JZ26" s="76"/>
      <c r="KA26" s="76"/>
      <c r="KB26" s="76"/>
      <c r="KD26" s="273" t="s">
        <v>56</v>
      </c>
      <c r="KE26" s="273"/>
      <c r="KF26" s="273"/>
      <c r="KG26" s="20" t="str">
        <f>IFERROR(IF(KE15="",KG25,SUM(KG25+IF(KE15="",0,2*KE15))),"")</f>
        <v/>
      </c>
      <c r="KI26" s="151"/>
      <c r="KJ26" s="298" t="str">
        <f>IFERROR(IF($B$20="Bitte klicken zum Auswählen","",
IF(OR($CZ$24="Die Allgemeine Hochschulreife wird nicht angestrebt.",$CZ$24="Kein Nachweis der zweiten Fremdsprache ausgewählt."),"",
IF(AND($B$20="Allgemeine Hochschulreife",$B$22="Ausgewiesenes Sprachniveau B1 durch andere Schule"),"",
IF($B$25="Die Eingabe der belegten zweiten Fremdsprache als Wahlpflichtfach ist zwingend erforderlich.","Keine zweite Fremdsprache belegt.",
IF($Q$23="JA","Zu viele Halbjahre ohne mögliche Notenbildung",
IF(AND(KJ24="Eingaben unvollständig",N19="HJL fehlt"),"Zu wenig HJL eingetragen",
IF(AND(KJ24="Eingaben unvollständig",K15="zu wenig APE"),"Zu wenig AP-Ergebnisse eingetragen",
IF(AND(KJ24="Eingaben unvollständig",N20="fehlt"),"Seminar fehlt",
IF(AND(KJ24="Eingaben unvollständig",N21="fehlt"),"Gruppenprüfung Englisch fehlt",
IF($CU$15=0,"Seminar mit 0 Punkten",
IF(MID($B$26,1,35)="Kein nachgewiesenes Sprachniveau B1","Kein nachgewiesenes Sprachniveau B1.",
IF($KO$19="nicht b.","3 Gesamtergebnisse unter 4 Punkten",
IF(AND($K$13&gt;5,$K$15="nicht b."),"mind. 1 AP-Ergebnis mit 0 Punkten",
IF(AND($K$13&lt;5,$K$15="nicht b."),"3 AP-Ergebnisse mit 1, 2 oder 3 Punkten",
IF(AND($KO$19="Kontrolle",$KO$18=1,$KG$28&lt;130),"1 GE unter 4 Punkten und Punktesumme unter 130",
IF(AND($KO$19="Kontrolle",$KO$18=2,$KG$28&lt;156),"2 GE unter 4 Punkten und Punktesumme unter 156",
IF(AND($KO$19="Kontrolle",$KO$18=1,$KG$28&lt;140,OR($B$22="Ergänzungsprüfung",$B$22="Spanisch fortgeführt (nur in Jgst. 12)",$B$22="Französisch fortgeführt (nur in Jgst. 12)")),"1 GE unter 4 Punkten und Punktesumme unter 140",
IF(AND($KO$19="Kontrolle",$KO$18=2,$KG$28&lt;168,OR($B$22="Ergänzungsprüfung",$B$22="Spanisch fortgeführt (nur in Jgst. 12)",$B$22="Französisch fortgeführt (nur in Jgst. 12)")),"2 GE unter 4 Punkten und Punktesumme unter 168","")))))))))))))))))),"")</f>
        <v/>
      </c>
      <c r="KK26" s="298"/>
      <c r="KL26" s="298"/>
      <c r="KM26" s="298"/>
      <c r="KN26" s="298"/>
      <c r="KO26" s="5"/>
    </row>
    <row r="27" spans="2:301" ht="37.5" customHeight="1" x14ac:dyDescent="0.25">
      <c r="B27" s="299" t="str">
        <f>IF($B$22="Bitte klicken zum Auswählen","",
IF(AND(AND($B$22="Belegung als Wahlpflichtfach (in Jgst. 13)",OR($B$16="Spanisch",$B$16="Französisch",$B$16="Spanisch fortgeführt",$B$16="Französisch fortgeführt")),IF(ISERROR(AVERAGE($D$16:$E$16)),0,AVERAGE($D$16:$E$16))&lt;3.5),CONCATENATE("Im Fach ",$B$16," wurde das Gesamtergebnis von 4 Punkten nicht erreicht."),
IF(AND(AND($B$22="Belegung als Wahlpflichtfach (in Jgst. 13)",OR($B$17="Spanisch",$B$17="Französisch",$B$17="Spanisch fortgeführt",$B$17="Französisch fortgeführt")),IF(ISERROR(AVERAGE($D$17:$E$17)),0,AVERAGE($D$17:$E$17))&lt;3.5),CONCATENATE("Im Fach ",$B$17," wurde das Gesamtergebnis von 4 Punkten nicht erreicht."),
IF(AND(AND($B$22="Belegung als Wahlpflichtfach (in Jgst. 13)",OR($B$16="Spanisch",$B$16="Französisch",$B$16="Spanisch fortgeführt",$B$16="Französisch fortgeführt")),$E$16&lt;4),CONCATENATE("Im Fach ",$B$16," wurden im zweiten Halbjahr keine 4 Punkte erreicht."),
IF(AND(AND($B$22="Belegung als Wahlpflichtfach (in Jgst. 13)",OR($B$17="Spanisch",$B$17="Französisch",$B$17="Spanisch fortgeführt",$B$17="Französisch fortgeführt")),$E$17&lt;4),CONCATENATE("Im Fach ",$B$17," wurden im zweiten Halbjahr keine 4 Punkte erreicht."),
IF(AND($B$22="Spanisch fortgeführt (nur in Jgst. 12)",COUNT($D$24:$E$24)&lt;2),CONCATENATE("Keine zwei HJL in ",$B$22," eingetragen."),
IF(AND($B$22="Französisch fortgeführt (nur in Jgst. 12)",COUNT($D$24:$E$24)&lt;2),CONCATENATE("Keine zwei HJL in ",$B$22," eingetragen."),
IF(AND($B$22="Spanisch fortgeführt (nur in Jgst. 12)",IF(ISERROR(AVERAGE($D$24:$E$24)),0,AVERAGE($D$24:$E$24))&lt;3.5),CONCATENATE("Im Fach ",$B$22," wurde das Gesamtergebnis von 4 Punkten nicht erreicht."),
IF(AND($B$22="Französisch fortgeführt (nur in Jgst. 12)",IF(ISERROR(AVERAGE($D$24:$E$24)),0,AVERAGE($D$24:$E$24))&lt;3.5),CONCATENATE("Im Fach ",$B$22," wurde das Gesamtergebnis von 4 Punkten nicht erreicht."),
IF(AND($B$22="Spanisch fortgeführt (nur in Jgst. 12)",$E$24&lt;4),CONCATENATE("Im Fach ",$B$22," wurden im zweiten Halbjahr keine 4 Punkte erreicht."),
IF(AND($B$22="Französisch fortgeführt (nur in Jgst. 12)",$E$24&lt;4),CONCATENATE("Im Fach ",$B$22," wurden im zweiten Halbjahr keine 4 Punkte erreicht."),
IF(AND($B$22="Ergänzungsprüfung",$D$24=""),"Kein Ergebnis der Ergänzungsprüfung eingetragen.",
IF(AND($B$22="Ergänzungsprüfung",$D$24&lt;4),"Die Mindestpunktzahl 4 wurde nicht erreicht.",
"")))))))))))))</f>
        <v/>
      </c>
      <c r="C27" s="299"/>
      <c r="D27" s="299"/>
      <c r="E27" s="299"/>
      <c r="F27" s="171"/>
      <c r="G27" s="171"/>
      <c r="H27" s="171"/>
      <c r="I27" s="171"/>
      <c r="J27" s="171"/>
      <c r="K27" s="52"/>
      <c r="L27" s="52"/>
      <c r="M27" s="52"/>
      <c r="N27" s="52"/>
      <c r="O27" s="52"/>
      <c r="P27" s="52"/>
      <c r="AE27" s="76" t="s">
        <v>307</v>
      </c>
      <c r="AF27" s="201">
        <f>IFERROR(IF(SUM($AB$7:$AD$17)="",0,SUM($AB$7:$AD$17)),"")</f>
        <v>0</v>
      </c>
      <c r="BB27" s="273" t="s">
        <v>24</v>
      </c>
      <c r="BC27" s="273"/>
      <c r="BD27" s="273"/>
      <c r="BE27" s="20" t="str">
        <f>IFERROR(IF(BE22="","",BE26+ROUND((2*(IFERROR(O8*1,0)+(IFERROR(O9*1,0)+(IFERROR(O11*1,0)+(IFERROR(O12*1,0)))))),0)),"")</f>
        <v/>
      </c>
      <c r="BF27" s="24"/>
      <c r="BG27" s="148"/>
      <c r="BH27" s="300" t="str">
        <f>IF(BH26="3 Gesamtergebnisse unter 4 Punkten","(0 Punkte werden doppelt gezählt.)","")</f>
        <v/>
      </c>
      <c r="BI27" s="300"/>
      <c r="BJ27" s="300"/>
      <c r="BK27" s="300"/>
      <c r="BL27" s="300"/>
      <c r="BM27" s="153"/>
      <c r="BN27" s="24"/>
      <c r="BO27" s="37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T27" s="299" t="str">
        <f>IF(B22="Ergänzungsprüfung","Summe der eingebrachten Halbjahresleistungen:
(mit Ergänzungsprüfung (zweifach gewertet))",IF(B22="Französisch fortgeführt (nur in Jgst. 12)","Summe der eingebrachten Halbjahresleistungen:
(mit HJL in Französisch fortgeführt (nur in Jgst. 12))",IF(B22="Spanisch fortgeführt (nur in Jgst. 12)","Summe der eingebrachten Halbjahresleistungen:
(mit HJL in Spanisch fortgeführt (nur in Jgst. 12))","")))</f>
        <v/>
      </c>
      <c r="CU27" s="299"/>
      <c r="CV27" s="299"/>
      <c r="CW27" s="20" t="str">
        <f>IFERROR(IF(CW22="","",IF(B22="Ergänzungsprüfung",CW26+(2*D24),IF(B22="Französisch fortgeführt (nur in Jgst. 12)",CW26+D24+E24,IF(B22="Spanisch fortgeführt (nur in Jgst. 12)",CW26+D24+E24,CW26)))),"")</f>
        <v/>
      </c>
      <c r="CY27" s="152"/>
      <c r="CZ27" s="300" t="str">
        <f>IF(CZ26="3 Gesamtergebnisse unter 4 Punkten","(0 Punkte werden doppelt gezählt.)","")</f>
        <v/>
      </c>
      <c r="DA27" s="300"/>
      <c r="DB27" s="300"/>
      <c r="DC27" s="300"/>
      <c r="DD27" s="300"/>
      <c r="GG27" s="76"/>
      <c r="GH27" s="76"/>
      <c r="GI27" s="76"/>
      <c r="GJ27" s="76"/>
      <c r="GK27" s="76"/>
      <c r="GL27" s="273" t="s">
        <v>24</v>
      </c>
      <c r="GM27" s="273"/>
      <c r="GN27" s="273"/>
      <c r="GO27" s="20" t="str">
        <f>IFERROR(IF(GO22="","",GO26+ROUND((2*(IFERROR(O8*1,0)+(IFERROR(O9*1,0)+(IFERROR(O11*1,0)+(IFERROR(O12*1,0)))))),0)),"")</f>
        <v/>
      </c>
      <c r="GP27" s="24"/>
      <c r="GQ27" s="148"/>
      <c r="GR27" s="300" t="str">
        <f>IF(GR26="3 Gesamtergebnisse unter 4 Punkten","(0 Punkte werden doppelt gezählt.)","")</f>
        <v/>
      </c>
      <c r="GS27" s="300"/>
      <c r="GT27" s="300"/>
      <c r="GU27" s="300"/>
      <c r="GV27" s="300"/>
      <c r="GW27" s="153"/>
      <c r="JY27" s="76"/>
      <c r="JZ27" s="76"/>
      <c r="KA27" s="76"/>
      <c r="KB27" s="76"/>
      <c r="KD27" s="299" t="str">
        <f>IF(FX22="Ergänzungsprüfung","Summe der eingebrachten Halbjahresleistungen:
(mit Ergänzungsprüfung (zweifach gewertet))",IF(FX22="Französisch fortgeführt (nur in Jgst. 12)","Summe der eingebrachten Halbjahresleistungen:
(mit HJL in Französisch fortgeführt (nur in Jgst. 12))",IF(FX22="Spanisch fortgeführt (nur in Jgst. 12)","Summe der eingebrachten Halbjahresleistungen:
(mit HJL in Spanisch fortgeführt (nur in Jgst. 12))","")))</f>
        <v/>
      </c>
      <c r="KE27" s="299"/>
      <c r="KF27" s="299"/>
      <c r="KG27" s="20" t="str">
        <f>IFERROR(IF(KG22="","",IF($B$22="Ergänzungsprüfung",CW26+(2*$D$24),IF($B$22="Französisch fortgeführt (nur in Jgst. 12)",CW26+$D$24+$E$24,IF($B$22="Spanisch fortgeführt (nur in Jgst. 12)",CW26+$D$24+$E$24,KG26)))),"")</f>
        <v/>
      </c>
      <c r="KI27" s="152"/>
      <c r="KJ27" s="300" t="str">
        <f>IF(KJ26="3 Gesamtergebnisse unter 4 Punkten","(0 Punkte werden doppelt gezählt.)","")</f>
        <v/>
      </c>
      <c r="KK27" s="300"/>
      <c r="KL27" s="300"/>
      <c r="KM27" s="300"/>
      <c r="KN27" s="300"/>
      <c r="KO27" s="5"/>
    </row>
    <row r="28" spans="2:301" ht="37.5" customHeight="1" x14ac:dyDescent="0.25">
      <c r="B28" s="299" t="str">
        <f>IF($Q$19=0,"",IF($Q$19=1,CONCATENATE("Die Leistungen im Fach",IF($Q$16="nein",CONCATENATE(" ",$B$16),""),IF($Q$17="nein",CONCATENATE(" ",$B$17),"")," fließen nicht in die Durchschnittsnote ein."),IF($Q$19&gt;1,CONCATENATE("Die Leistungen der Fächer",IF($Q$16="nein",CONCATENATE(" ",$B$16),""),IF($Q$17="nein",CONCATENATE(" und ",$B$17),"")," fließen nicht in die Durchschnittsnote ein."))))</f>
        <v/>
      </c>
      <c r="C28" s="299"/>
      <c r="D28" s="299"/>
      <c r="E28" s="299"/>
      <c r="F28" s="171"/>
      <c r="G28" s="171"/>
      <c r="H28" s="171"/>
      <c r="I28" s="171"/>
      <c r="J28" s="171"/>
      <c r="AE28" s="76" t="s">
        <v>21</v>
      </c>
      <c r="AF28" s="201">
        <f>IFERROR(IF(SUM($AF$23:$AF$25)-$AF$26="",0,SUM($AF$23:$AF$25)-$AF$26),"")</f>
        <v>0</v>
      </c>
      <c r="BB28" s="292" t="s">
        <v>15</v>
      </c>
      <c r="BC28" s="292"/>
      <c r="BD28" s="292"/>
      <c r="BE28" s="21" t="str">
        <f>IFERROR(IF(BE22="","",IF(ROUNDDOWN(17/3-((5*BE27)/390),1)&lt;1,1,ROUNDDOWN(17/3-((5*BE27)/390),1))),"")</f>
        <v/>
      </c>
      <c r="BF28" s="142" t="str">
        <f>IFERROR(CONCATENATE("von ",INDEX(Schnitt_von_bis_390_tab[],MATCH(BE28,Schnitt_von_bis_390_tab[Schnitt],0),3)," bis ",INDEX(Schnitt_von_bis_390_tab[],MATCH(BE28,Schnitt_von_bis_390_tab[Schnitt],0),2)," Punkten"),"")</f>
        <v/>
      </c>
      <c r="BG28" s="21"/>
      <c r="BH28" s="21"/>
      <c r="BI28" s="21"/>
      <c r="BJ28" s="21"/>
      <c r="BK28" s="21"/>
      <c r="BL28" s="21"/>
      <c r="BM28" s="21"/>
      <c r="BN28" s="21"/>
      <c r="BO28" s="38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T28" s="273" t="s">
        <v>24</v>
      </c>
      <c r="CU28" s="273"/>
      <c r="CV28" s="273"/>
      <c r="CW28" s="20" t="str">
        <f>IFERROR(IF(CW22="","",CW27+ROUND((2*(IFERROR(O8*1,0)+(IFERROR(O9*1,0)+(IFERROR(O11*1,0)+(IFERROR(O12*1,0)))))),0)),"")</f>
        <v/>
      </c>
      <c r="DC28" s="74"/>
      <c r="DD28" s="74"/>
      <c r="GG28" s="76"/>
      <c r="GH28" s="76"/>
      <c r="GI28" s="76"/>
      <c r="GJ28" s="76"/>
      <c r="GK28" s="76"/>
      <c r="GL28" s="292" t="s">
        <v>15</v>
      </c>
      <c r="GM28" s="292"/>
      <c r="GN28" s="292"/>
      <c r="GO28" s="21" t="str">
        <f>IFERROR(IF(GO22="","",IF(ROUNDDOWN(17/3-((5*GO27)/390),1)&lt;1,1,ROUNDDOWN(17/3-((5*GO27)/390),1))),"")</f>
        <v/>
      </c>
      <c r="GP28" s="142" t="str">
        <f>IFERROR(CONCATENATE("von ",INDEX(Schnitt_von_bis_390_tab[],MATCH(GO28,Schnitt_von_bis_390_tab[Schnitt],0),3)," bis ",INDEX(Schnitt_von_bis_390_tab[],MATCH(GO28,Schnitt_von_bis_390_tab[Schnitt],0),2)," Punkten"),"")</f>
        <v/>
      </c>
      <c r="GQ28" s="21"/>
      <c r="GR28" s="21"/>
      <c r="GS28" s="21"/>
      <c r="GT28" s="21"/>
      <c r="GU28" s="21"/>
      <c r="GV28" s="21"/>
      <c r="GW28" s="21"/>
      <c r="JY28" s="76"/>
      <c r="JZ28" s="76"/>
      <c r="KA28" s="76"/>
      <c r="KB28" s="76"/>
      <c r="KD28" s="273" t="s">
        <v>24</v>
      </c>
      <c r="KE28" s="273"/>
      <c r="KF28" s="273"/>
      <c r="KG28" s="20" t="str">
        <f>IFERROR(IF(KG22="","",KG27+ROUND((2*(IFERROR(O8*1,0)+(IFERROR(O9*1,0)+(IFERROR(O11*1,0)+(IFERROR(O12*1,0)))))),0)),"")</f>
        <v/>
      </c>
      <c r="KJ28" s="4"/>
      <c r="KK28" s="5"/>
      <c r="KO28" s="5"/>
    </row>
    <row r="29" spans="2:301" ht="37.5" customHeight="1" x14ac:dyDescent="0.25">
      <c r="B29" s="411"/>
      <c r="C29" s="411"/>
      <c r="D29" s="411"/>
      <c r="E29" s="411"/>
      <c r="F29" s="170"/>
      <c r="G29" s="170"/>
      <c r="H29" s="170"/>
      <c r="I29" s="170"/>
      <c r="J29" s="170"/>
      <c r="AF29" s="201"/>
      <c r="BB29" s="434" t="s">
        <v>311</v>
      </c>
      <c r="BC29" s="434"/>
      <c r="BD29" s="434"/>
      <c r="BE29" s="262" t="str">
        <f>IFERROR(IF(BE22="","",IF(ROUNDDOWN(17/3-((5*BE27)/390),2)&lt;1,1,ROUNDDOWN(17/3-((5*BE27)/390),2))),"")</f>
        <v/>
      </c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T29" s="292" t="s">
        <v>15</v>
      </c>
      <c r="CU29" s="292"/>
      <c r="CV29" s="292"/>
      <c r="CW29" s="21" t="str">
        <f>IFERROR(IF(CW22="","",IF(OR(B22="Ergänzungsprüfung",B22="Französisch fortgeführt (nur in Jgst. 12)",B22="Spanisch fortgeführt (nur in Jgst. 12)"),IF(ROUNDDOWN(17/3-((5*CW28)/420),1)&lt;1,1,ROUNDDOWN(17/3-((5*CW28)/420),1)),IF(ROUNDDOWN(17/3-((5*CW28)/390),1)&lt;1,1,ROUNDDOWN(17/3-((5*CW28)/390),1)))),"")</f>
        <v/>
      </c>
      <c r="CX29" s="142" t="str">
        <f>IFERROR(IF($CU$56=390,CONCATENATE("von ",INDEX(Schnitt_von_bis_390_tab[],MATCH(CW29,Schnitt_von_bis_390_tab[Schnitt],0),3)," bis ",INDEX(Schnitt_von_bis_390_tab[],MATCH(CW29,Schnitt_von_bis_390_tab[Schnitt],0),2)," Punkten"),CONCATENATE("von ",INDEX(Schnitt_von_bis_420_tab[],MATCH(CW29,Schnitt_von_bis_420_tab[Schnitt],0),3)," bis ",INDEX(Schnitt_von_bis_420_tab[],MATCH(CW29,Schnitt_von_bis_420_tab[Schnitt],0),2)," Punkten")),"")</f>
        <v/>
      </c>
      <c r="DB29" s="85"/>
      <c r="GG29" s="76"/>
      <c r="GH29" s="76"/>
      <c r="GI29" s="76"/>
      <c r="GJ29" s="76"/>
      <c r="GK29" s="76"/>
      <c r="GL29" s="434" t="s">
        <v>311</v>
      </c>
      <c r="GM29" s="434"/>
      <c r="GN29" s="434"/>
      <c r="GO29" s="262" t="str">
        <f>IFERROR(IF(GO22="","",IF(ROUNDDOWN(17/3-((5*GO27)/390),2)&lt;1,1,ROUNDDOWN(17/3-((5*GO27)/390),2))),"")</f>
        <v/>
      </c>
      <c r="JY29" s="76"/>
      <c r="JZ29" s="76"/>
      <c r="KA29" s="76"/>
      <c r="KB29" s="76"/>
      <c r="KD29" s="292" t="s">
        <v>15</v>
      </c>
      <c r="KE29" s="292"/>
      <c r="KF29" s="292"/>
      <c r="KG29" s="21" t="str">
        <f>IFERROR(IF(KG22="","",IF(OR($B$22="Ergänzungsprüfung",$B$22="Französisch fortgeführt (nur in Jgst. 12)",$B$22="Spanisch fortgeführt (nur in Jgst. 12)"),IF(ROUNDDOWN(17/3-((5*KG28)/420),1)&lt;1,1,ROUNDDOWN(17/3-((5*KG28)/420),1)),IF(ROUNDDOWN(17/3-((5*KG28)/390),1)&lt;1,1,ROUNDDOWN(17/3-((5*KG28)/390),1)))),"")</f>
        <v/>
      </c>
      <c r="KH29" s="142" t="str">
        <f>IFERROR(IF($CU$56=390,CONCATENATE("von ",INDEX(Schnitt_von_bis_390_tab[],MATCH(KG29,Schnitt_von_bis_390_tab[Schnitt],0),3)," bis ",INDEX(Schnitt_von_bis_390_tab[],MATCH(KG29,Schnitt_von_bis_390_tab[Schnitt],0),2)," Punkten"),CONCATENATE("von ",INDEX(Schnitt_von_bis_420_tab[],MATCH(KG29,Schnitt_von_bis_420_tab[Schnitt],0),3)," bis ",INDEX(Schnitt_von_bis_420_tab[],MATCH(KG29,Schnitt_von_bis_420_tab[Schnitt],0),2)," Punkten")),"")</f>
        <v/>
      </c>
      <c r="KJ29" s="4"/>
      <c r="KK29" s="5"/>
      <c r="KL29" s="85"/>
      <c r="KM29" s="6"/>
      <c r="KN29" s="4"/>
      <c r="KO29" s="5"/>
    </row>
    <row r="30" spans="2:301" ht="15.75" customHeight="1" x14ac:dyDescent="0.25"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T30" s="434" t="s">
        <v>311</v>
      </c>
      <c r="CU30" s="434"/>
      <c r="CV30" s="434"/>
      <c r="CW30" s="262" t="str">
        <f>IFERROR(IF(CW22="","",IF(OR(B22="Ergänzungsprüfung",B22="Französisch fortgeführt (nur in Jgst. 12)",B22="Spanisch fortgeführt (nur in Jgst. 12)"),IF(ROUNDDOWN(17/3-((5*CW28)/420),2)&lt;1,1,ROUNDDOWN(17/3-((5*CW28)/420),2)),IF(ROUNDDOWN(17/3-((5*CW28)/390),2)&lt;1,1,ROUNDDOWN(17/3-((5*CW28)/390),2)))),"")</f>
        <v/>
      </c>
      <c r="JY30" s="76"/>
      <c r="JZ30" s="76"/>
      <c r="KA30" s="76"/>
      <c r="KB30" s="76"/>
      <c r="KD30" s="434" t="s">
        <v>311</v>
      </c>
      <c r="KE30" s="434"/>
      <c r="KF30" s="434"/>
      <c r="KG30" s="261" t="str">
        <f>IFERROR(IF(KG22="","",IF(OR($B$22="Ergänzungsprüfung",$B$22="Französisch fortgeführt (nur in Jgst. 12)",$B$22="Spanisch fortgeführt (nur in Jgst. 12)"),IF(ROUNDDOWN(17/3-((5*KG28)/420),2)&lt;1,1,ROUNDDOWN(17/3-((5*KG28)/420),2)),IF(ROUNDDOWN(17/3-((5*KG28)/390),2)&lt;1,1,ROUNDDOWN(17/3-((5*KG28)/390),2)))),"")</f>
        <v/>
      </c>
      <c r="KJ30" s="4"/>
      <c r="KK30" s="5"/>
      <c r="KM30" s="6"/>
      <c r="KN30" s="4"/>
      <c r="KO30" s="5"/>
    </row>
    <row r="31" spans="2:301" x14ac:dyDescent="0.25"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</row>
    <row r="32" spans="2:301" ht="15.75" customHeight="1" thickBot="1" x14ac:dyDescent="0.3"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W32" s="40"/>
    </row>
    <row r="33" spans="2:108" ht="15" customHeight="1" x14ac:dyDescent="0.25">
      <c r="B33" s="317" t="s">
        <v>180</v>
      </c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BB33" s="395" t="s">
        <v>73</v>
      </c>
      <c r="BC33" s="396"/>
      <c r="BD33" s="396"/>
      <c r="BE33" s="396"/>
      <c r="BF33" s="396"/>
      <c r="BG33" s="396"/>
      <c r="BH33" s="396"/>
      <c r="BI33" s="396"/>
      <c r="BJ33" s="396"/>
      <c r="BK33" s="397"/>
      <c r="BL33" s="41"/>
      <c r="BM33" s="41"/>
      <c r="BN33" s="41"/>
      <c r="BO33" s="41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T33" s="367" t="s">
        <v>74</v>
      </c>
      <c r="CU33" s="368"/>
      <c r="CV33" s="368"/>
      <c r="CW33" s="368"/>
      <c r="CX33" s="368"/>
      <c r="CY33" s="368"/>
      <c r="CZ33" s="368"/>
      <c r="DA33" s="368"/>
      <c r="DB33" s="368"/>
      <c r="DC33" s="369"/>
      <c r="DD33" s="53"/>
    </row>
    <row r="34" spans="2:108" ht="15.75" customHeight="1" thickBot="1" x14ac:dyDescent="0.3"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BB34" s="398"/>
      <c r="BC34" s="399"/>
      <c r="BD34" s="399"/>
      <c r="BE34" s="399"/>
      <c r="BF34" s="399"/>
      <c r="BG34" s="399"/>
      <c r="BH34" s="399"/>
      <c r="BI34" s="399"/>
      <c r="BJ34" s="399"/>
      <c r="BK34" s="400"/>
      <c r="CT34" s="370"/>
      <c r="CU34" s="371"/>
      <c r="CV34" s="371"/>
      <c r="CW34" s="371"/>
      <c r="CX34" s="371"/>
      <c r="CY34" s="371"/>
      <c r="CZ34" s="371"/>
      <c r="DA34" s="371"/>
      <c r="DB34" s="371"/>
      <c r="DC34" s="372"/>
      <c r="DD34" s="53"/>
    </row>
    <row r="35" spans="2:108" ht="15" customHeight="1" x14ac:dyDescent="0.25">
      <c r="B35" s="315" t="s">
        <v>181</v>
      </c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Q35" s="74"/>
      <c r="R35" s="74"/>
      <c r="S35" s="74"/>
      <c r="T35" s="74"/>
      <c r="U35" s="74"/>
      <c r="V35" s="74"/>
      <c r="W35" s="74"/>
      <c r="X35" s="74"/>
      <c r="Y35" s="74"/>
      <c r="BB35" s="328" t="s">
        <v>11</v>
      </c>
      <c r="BC35" s="330" t="s">
        <v>12</v>
      </c>
      <c r="BD35" s="330"/>
      <c r="BE35" s="401" t="s">
        <v>13</v>
      </c>
      <c r="BF35" s="402"/>
      <c r="BG35" s="402"/>
      <c r="BH35" s="402"/>
      <c r="BI35" s="402"/>
      <c r="BJ35" s="402"/>
      <c r="BK35" s="403"/>
      <c r="CT35" s="373" t="s">
        <v>11</v>
      </c>
      <c r="CU35" s="375" t="s">
        <v>12</v>
      </c>
      <c r="CV35" s="375"/>
      <c r="CW35" s="377" t="s">
        <v>13</v>
      </c>
      <c r="CX35" s="378"/>
      <c r="CY35" s="378"/>
      <c r="CZ35" s="378"/>
      <c r="DA35" s="378"/>
      <c r="DB35" s="378"/>
      <c r="DC35" s="379"/>
    </row>
    <row r="36" spans="2:108" ht="16.5" thickBot="1" x14ac:dyDescent="0.3">
      <c r="B36" s="315" t="s">
        <v>182</v>
      </c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Q36" s="74"/>
      <c r="R36" s="74"/>
      <c r="S36" s="74"/>
      <c r="T36" s="74"/>
      <c r="U36" s="74"/>
      <c r="V36" s="74"/>
      <c r="W36" s="74"/>
      <c r="X36" s="74"/>
      <c r="Y36" s="74"/>
      <c r="BB36" s="329"/>
      <c r="BC36" s="331"/>
      <c r="BD36" s="331"/>
      <c r="BE36" s="404"/>
      <c r="BF36" s="405"/>
      <c r="BG36" s="405"/>
      <c r="BH36" s="405"/>
      <c r="BI36" s="405"/>
      <c r="BJ36" s="405"/>
      <c r="BK36" s="406"/>
      <c r="CT36" s="374"/>
      <c r="CU36" s="376"/>
      <c r="CV36" s="376"/>
      <c r="CW36" s="380"/>
      <c r="CX36" s="380"/>
      <c r="CY36" s="380"/>
      <c r="CZ36" s="380"/>
      <c r="DA36" s="380"/>
      <c r="DB36" s="380"/>
      <c r="DC36" s="381"/>
    </row>
    <row r="37" spans="2:108" ht="15.75" x14ac:dyDescent="0.25">
      <c r="B37" s="315" t="s">
        <v>15</v>
      </c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Q37" s="74"/>
      <c r="R37" s="74"/>
      <c r="S37" s="74"/>
      <c r="T37" s="74"/>
      <c r="U37" s="74"/>
      <c r="V37" s="74"/>
      <c r="W37" s="74"/>
      <c r="X37" s="74"/>
      <c r="Y37" s="74"/>
      <c r="BB37" s="332" t="s">
        <v>34</v>
      </c>
      <c r="BC37" s="334">
        <v>120</v>
      </c>
      <c r="BD37" s="334"/>
      <c r="BE37" s="407" t="s">
        <v>80</v>
      </c>
      <c r="BF37" s="402"/>
      <c r="BG37" s="402"/>
      <c r="BH37" s="402"/>
      <c r="BI37" s="402"/>
      <c r="BJ37" s="402"/>
      <c r="BK37" s="403"/>
      <c r="CT37" s="382" t="s">
        <v>34</v>
      </c>
      <c r="CU37" s="383" t="s">
        <v>76</v>
      </c>
      <c r="CV37" s="383"/>
      <c r="CW37" s="384" t="s">
        <v>80</v>
      </c>
      <c r="CX37" s="385"/>
      <c r="CY37" s="385"/>
      <c r="CZ37" s="385"/>
      <c r="DA37" s="385"/>
      <c r="DB37" s="385"/>
      <c r="DC37" s="386"/>
    </row>
    <row r="38" spans="2:108" ht="20.25" x14ac:dyDescent="0.3">
      <c r="B38" s="318" t="s">
        <v>183</v>
      </c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Q38" s="74"/>
      <c r="R38" s="74"/>
      <c r="S38" s="74"/>
      <c r="T38" s="74"/>
      <c r="U38" s="74"/>
      <c r="V38" s="74"/>
      <c r="W38" s="74"/>
      <c r="X38" s="74"/>
      <c r="Y38" s="74"/>
      <c r="BB38" s="333"/>
      <c r="BC38" s="335"/>
      <c r="BD38" s="335"/>
      <c r="BE38" s="352"/>
      <c r="BF38" s="353"/>
      <c r="BG38" s="353"/>
      <c r="BH38" s="353"/>
      <c r="BI38" s="353"/>
      <c r="BJ38" s="353"/>
      <c r="BK38" s="354"/>
      <c r="CT38" s="321"/>
      <c r="CU38" s="320"/>
      <c r="CV38" s="320"/>
      <c r="CW38" s="347"/>
      <c r="CX38" s="347"/>
      <c r="CY38" s="347"/>
      <c r="CZ38" s="347"/>
      <c r="DA38" s="347"/>
      <c r="DB38" s="347"/>
      <c r="DC38" s="348"/>
    </row>
    <row r="39" spans="2:108" x14ac:dyDescent="0.25">
      <c r="B39" s="387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Q39" s="74"/>
      <c r="R39" s="74"/>
      <c r="S39" s="74"/>
      <c r="T39" s="74"/>
      <c r="U39" s="74"/>
      <c r="V39" s="74"/>
      <c r="W39" s="74"/>
      <c r="X39" s="74"/>
      <c r="Y39" s="74"/>
      <c r="BB39" s="333"/>
      <c r="BC39" s="335"/>
      <c r="BD39" s="335"/>
      <c r="BE39" s="352"/>
      <c r="BF39" s="353"/>
      <c r="BG39" s="353"/>
      <c r="BH39" s="353"/>
      <c r="BI39" s="353"/>
      <c r="BJ39" s="353"/>
      <c r="BK39" s="354"/>
      <c r="CT39" s="321"/>
      <c r="CU39" s="320"/>
      <c r="CV39" s="320"/>
      <c r="CW39" s="347"/>
      <c r="CX39" s="347"/>
      <c r="CY39" s="347"/>
      <c r="CZ39" s="347"/>
      <c r="DA39" s="347"/>
      <c r="DB39" s="347"/>
      <c r="DC39" s="348"/>
    </row>
    <row r="40" spans="2:108" ht="15.75" x14ac:dyDescent="0.25">
      <c r="B40" s="388" t="s">
        <v>17</v>
      </c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Q40" s="74"/>
      <c r="R40" s="74"/>
      <c r="S40" s="74"/>
      <c r="T40" s="74"/>
      <c r="U40" s="74"/>
      <c r="V40" s="74"/>
      <c r="W40" s="74"/>
      <c r="X40" s="74"/>
      <c r="Y40" s="74"/>
      <c r="BB40" s="333"/>
      <c r="BC40" s="335"/>
      <c r="BD40" s="335"/>
      <c r="BE40" s="408"/>
      <c r="BF40" s="409"/>
      <c r="BG40" s="409"/>
      <c r="BH40" s="409"/>
      <c r="BI40" s="409"/>
      <c r="BJ40" s="409"/>
      <c r="BK40" s="410"/>
      <c r="CT40" s="321"/>
      <c r="CU40" s="320"/>
      <c r="CV40" s="320"/>
      <c r="CW40" s="347"/>
      <c r="CX40" s="347"/>
      <c r="CY40" s="347"/>
      <c r="CZ40" s="347"/>
      <c r="DA40" s="347"/>
      <c r="DB40" s="347"/>
      <c r="DC40" s="348"/>
    </row>
    <row r="41" spans="2:108" ht="15.75" x14ac:dyDescent="0.25">
      <c r="B41" s="315" t="s">
        <v>16</v>
      </c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Q41" s="74"/>
      <c r="R41" s="74"/>
      <c r="S41" s="74"/>
      <c r="T41" s="74"/>
      <c r="U41" s="74"/>
      <c r="V41" s="74"/>
      <c r="W41" s="74"/>
      <c r="X41" s="74"/>
      <c r="Y41" s="74"/>
      <c r="BB41" s="336" t="s">
        <v>75</v>
      </c>
      <c r="BC41" s="335">
        <v>30</v>
      </c>
      <c r="BD41" s="335"/>
      <c r="BE41" s="349" t="s">
        <v>18</v>
      </c>
      <c r="BF41" s="358"/>
      <c r="BG41" s="358"/>
      <c r="BH41" s="358"/>
      <c r="BI41" s="358"/>
      <c r="BJ41" s="358"/>
      <c r="BK41" s="359"/>
      <c r="CT41" s="319" t="s">
        <v>75</v>
      </c>
      <c r="CU41" s="320" t="s">
        <v>77</v>
      </c>
      <c r="CV41" s="320"/>
      <c r="CW41" s="346" t="s">
        <v>81</v>
      </c>
      <c r="CX41" s="347"/>
      <c r="CY41" s="347"/>
      <c r="CZ41" s="347"/>
      <c r="DA41" s="347"/>
      <c r="DB41" s="347"/>
      <c r="DC41" s="348"/>
    </row>
    <row r="42" spans="2:108" ht="15.75" customHeight="1" x14ac:dyDescent="0.25">
      <c r="B42" s="316" t="s">
        <v>184</v>
      </c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Q42" s="74"/>
      <c r="R42" s="74"/>
      <c r="S42" s="74"/>
      <c r="T42" s="74"/>
      <c r="U42" s="74"/>
      <c r="V42" s="74"/>
      <c r="W42" s="74"/>
      <c r="X42" s="74"/>
      <c r="Y42" s="74"/>
      <c r="BB42" s="336"/>
      <c r="BC42" s="335"/>
      <c r="BD42" s="335"/>
      <c r="BE42" s="360"/>
      <c r="BF42" s="361"/>
      <c r="BG42" s="361"/>
      <c r="BH42" s="361"/>
      <c r="BI42" s="361"/>
      <c r="BJ42" s="361"/>
      <c r="BK42" s="362"/>
      <c r="CT42" s="319"/>
      <c r="CU42" s="320"/>
      <c r="CV42" s="320"/>
      <c r="CW42" s="347"/>
      <c r="CX42" s="347"/>
      <c r="CY42" s="347"/>
      <c r="CZ42" s="347"/>
      <c r="DA42" s="347"/>
      <c r="DB42" s="347"/>
      <c r="DC42" s="348"/>
    </row>
    <row r="43" spans="2:108" ht="15" customHeight="1" x14ac:dyDescent="0.25"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BB43" s="337" t="s">
        <v>78</v>
      </c>
      <c r="BC43" s="335">
        <v>240</v>
      </c>
      <c r="BD43" s="335"/>
      <c r="BE43" s="360"/>
      <c r="BF43" s="361"/>
      <c r="BG43" s="361"/>
      <c r="BH43" s="361"/>
      <c r="BI43" s="361"/>
      <c r="BJ43" s="361"/>
      <c r="BK43" s="362"/>
      <c r="CT43" s="391" t="s">
        <v>78</v>
      </c>
      <c r="CU43" s="320" t="s">
        <v>79</v>
      </c>
      <c r="CV43" s="320"/>
      <c r="CW43" s="347"/>
      <c r="CX43" s="347"/>
      <c r="CY43" s="347"/>
      <c r="CZ43" s="347"/>
      <c r="DA43" s="347"/>
      <c r="DB43" s="347"/>
      <c r="DC43" s="348"/>
    </row>
    <row r="44" spans="2:108" x14ac:dyDescent="0.25">
      <c r="BB44" s="338"/>
      <c r="BC44" s="335"/>
      <c r="BD44" s="335"/>
      <c r="BE44" s="360"/>
      <c r="BF44" s="361"/>
      <c r="BG44" s="361"/>
      <c r="BH44" s="361"/>
      <c r="BI44" s="361"/>
      <c r="BJ44" s="361"/>
      <c r="BK44" s="362"/>
      <c r="CT44" s="392"/>
      <c r="CU44" s="320"/>
      <c r="CV44" s="320"/>
      <c r="CW44" s="347"/>
      <c r="CX44" s="347"/>
      <c r="CY44" s="347"/>
      <c r="CZ44" s="347"/>
      <c r="DA44" s="347"/>
      <c r="DB44" s="347"/>
      <c r="DC44" s="348"/>
    </row>
    <row r="45" spans="2:108" x14ac:dyDescent="0.25">
      <c r="BB45" s="338"/>
      <c r="BC45" s="335"/>
      <c r="BD45" s="335"/>
      <c r="BE45" s="360"/>
      <c r="BF45" s="361"/>
      <c r="BG45" s="361"/>
      <c r="BH45" s="361"/>
      <c r="BI45" s="361"/>
      <c r="BJ45" s="361"/>
      <c r="BK45" s="362"/>
      <c r="CT45" s="392"/>
      <c r="CU45" s="320"/>
      <c r="CV45" s="320"/>
      <c r="CW45" s="347"/>
      <c r="CX45" s="347"/>
      <c r="CY45" s="347"/>
      <c r="CZ45" s="347"/>
      <c r="DA45" s="347"/>
      <c r="DB45" s="347"/>
      <c r="DC45" s="348"/>
    </row>
    <row r="46" spans="2:108" x14ac:dyDescent="0.25">
      <c r="BB46" s="338"/>
      <c r="BC46" s="335"/>
      <c r="BD46" s="335"/>
      <c r="BE46" s="360"/>
      <c r="BF46" s="361"/>
      <c r="BG46" s="361"/>
      <c r="BH46" s="361"/>
      <c r="BI46" s="361"/>
      <c r="BJ46" s="361"/>
      <c r="BK46" s="362"/>
      <c r="CT46" s="392"/>
      <c r="CU46" s="320"/>
      <c r="CV46" s="320"/>
      <c r="CW46" s="347"/>
      <c r="CX46" s="347"/>
      <c r="CY46" s="347"/>
      <c r="CZ46" s="347"/>
      <c r="DA46" s="347"/>
      <c r="DB46" s="347"/>
      <c r="DC46" s="348"/>
    </row>
    <row r="47" spans="2:108" x14ac:dyDescent="0.25">
      <c r="BB47" s="338"/>
      <c r="BC47" s="335"/>
      <c r="BD47" s="335"/>
      <c r="BE47" s="360"/>
      <c r="BF47" s="361"/>
      <c r="BG47" s="361"/>
      <c r="BH47" s="361"/>
      <c r="BI47" s="361"/>
      <c r="BJ47" s="361"/>
      <c r="BK47" s="362"/>
      <c r="CT47" s="392"/>
      <c r="CU47" s="320"/>
      <c r="CV47" s="320"/>
      <c r="CW47" s="347"/>
      <c r="CX47" s="347"/>
      <c r="CY47" s="347"/>
      <c r="CZ47" s="347"/>
      <c r="DA47" s="347"/>
      <c r="DB47" s="347"/>
      <c r="DC47" s="348"/>
    </row>
    <row r="48" spans="2:108" x14ac:dyDescent="0.25">
      <c r="BB48" s="338"/>
      <c r="BC48" s="335"/>
      <c r="BD48" s="335"/>
      <c r="BE48" s="360"/>
      <c r="BF48" s="361"/>
      <c r="BG48" s="361"/>
      <c r="BH48" s="361"/>
      <c r="BI48" s="361"/>
      <c r="BJ48" s="361"/>
      <c r="BK48" s="362"/>
      <c r="CT48" s="392"/>
      <c r="CU48" s="320"/>
      <c r="CV48" s="320"/>
      <c r="CW48" s="347"/>
      <c r="CX48" s="347"/>
      <c r="CY48" s="347"/>
      <c r="CZ48" s="347"/>
      <c r="DA48" s="347"/>
      <c r="DB48" s="347"/>
      <c r="DC48" s="348"/>
    </row>
    <row r="49" spans="1:107" x14ac:dyDescent="0.25">
      <c r="BB49" s="338"/>
      <c r="BC49" s="335"/>
      <c r="BD49" s="335"/>
      <c r="BE49" s="360"/>
      <c r="BF49" s="361"/>
      <c r="BG49" s="361"/>
      <c r="BH49" s="361"/>
      <c r="BI49" s="361"/>
      <c r="BJ49" s="361"/>
      <c r="BK49" s="362"/>
      <c r="CT49" s="392"/>
      <c r="CU49" s="320"/>
      <c r="CV49" s="320"/>
      <c r="CW49" s="347"/>
      <c r="CX49" s="347"/>
      <c r="CY49" s="347"/>
      <c r="CZ49" s="347"/>
      <c r="DA49" s="347"/>
      <c r="DB49" s="347"/>
      <c r="DC49" s="348"/>
    </row>
    <row r="50" spans="1:107" x14ac:dyDescent="0.25">
      <c r="BB50" s="338"/>
      <c r="BC50" s="335"/>
      <c r="BD50" s="335"/>
      <c r="BE50" s="360"/>
      <c r="BF50" s="361"/>
      <c r="BG50" s="361"/>
      <c r="BH50" s="361"/>
      <c r="BI50" s="361"/>
      <c r="BJ50" s="361"/>
      <c r="BK50" s="362"/>
      <c r="CT50" s="392"/>
      <c r="CU50" s="320"/>
      <c r="CV50" s="320"/>
      <c r="CW50" s="347"/>
      <c r="CX50" s="347"/>
      <c r="CY50" s="347"/>
      <c r="CZ50" s="347"/>
      <c r="DA50" s="347"/>
      <c r="DB50" s="347"/>
      <c r="DC50" s="348"/>
    </row>
    <row r="51" spans="1:107" x14ac:dyDescent="0.25">
      <c r="BB51" s="338"/>
      <c r="BC51" s="335"/>
      <c r="BD51" s="335"/>
      <c r="BE51" s="363"/>
      <c r="BF51" s="364"/>
      <c r="BG51" s="364"/>
      <c r="BH51" s="364"/>
      <c r="BI51" s="364"/>
      <c r="BJ51" s="364"/>
      <c r="BK51" s="365"/>
      <c r="CT51" s="393"/>
      <c r="CU51" s="320"/>
      <c r="CV51" s="320"/>
      <c r="CW51" s="347"/>
      <c r="CX51" s="347"/>
      <c r="CY51" s="347"/>
      <c r="CZ51" s="347"/>
      <c r="DA51" s="347"/>
      <c r="DB51" s="347"/>
      <c r="DC51" s="348"/>
    </row>
    <row r="52" spans="1:107" ht="15" customHeight="1" x14ac:dyDescent="0.25">
      <c r="A52" s="174"/>
      <c r="B52" s="265"/>
      <c r="C52" s="265"/>
      <c r="D52" s="265"/>
      <c r="BB52" s="342" t="s">
        <v>14</v>
      </c>
      <c r="BC52" s="335">
        <f>BC37+BC41+BC43</f>
        <v>390</v>
      </c>
      <c r="BD52" s="335"/>
      <c r="BE52" s="349" t="s">
        <v>35</v>
      </c>
      <c r="BF52" s="350"/>
      <c r="BG52" s="350"/>
      <c r="BH52" s="350"/>
      <c r="BI52" s="350"/>
      <c r="BJ52" s="350"/>
      <c r="BK52" s="351"/>
      <c r="CT52" s="339" t="str">
        <f>IF(B22="Belegung als Wahlpflichtfach (in Jgst. 13)","Die Leistung der zweiten Fremdsprache ist in den 16 HJL eingerechnet.",IF(B22="Ergänzungsprüfung","Zweifaches Gesamtergebnis der Ergänzungsprüfung.",IF(B22="Französisch fortgeführt (nur in Jgst. 12)","Halbjahresleistungen in Französisch fortgeführt aus 12/1 und 12/2.",IF(B22="Spanisch fortgeführt (nur in Jgst. 12)","Halbjahresleistungen in Spanisch fortgeführt aus 12/1 und 12/2.",IF(B22="Ausgewiesenes Sprachniveau B1 durch andere Schule","Anerkennung der zweiten Fremdspache aus einer anderen Schule.","")))))</f>
        <v/>
      </c>
      <c r="CU52" s="335" t="str">
        <f>IF(B22="Belegung als Wahlpflichtfach (in Jgst. 13)","",IF(B22="Ergänzungsprüfung",30,IF(B22="Französisch fortgeführt (nur in Jgst. 12)",30,IF(B22="Spanisch fortgeführt (nur in Jgst. 12)",30,IF(B22="Ausgewiesenes Sprachniveau B1 durch andere Schule","","")))))</f>
        <v/>
      </c>
      <c r="CV52" s="335"/>
      <c r="CW52" s="324" t="str">
        <f>IF(B22="Belegung als Wahlpflichtfach (in Jgst. 13)","",IF(B22="Ergänzungsprüfung","Einfaches Gesamtergebnis mindestens 4 Punkte.",IF(B22="Französisch fortgeführt (nur in Jgst. 12)","Gesamtergebnis mindestens 4 Punkte.",IF(B22="Spanisch fortgeführt (nur in Jgst. 12)","Gesamtergebnis mindestens 4 Punkte.",IF(B22="Ausgewiesenes Sprachniveau B1 durch andere Schule","","")))))</f>
        <v/>
      </c>
      <c r="CX52" s="324"/>
      <c r="CY52" s="324"/>
      <c r="CZ52" s="324"/>
      <c r="DA52" s="324"/>
      <c r="DB52" s="324"/>
      <c r="DC52" s="325"/>
    </row>
    <row r="53" spans="1:107" x14ac:dyDescent="0.25">
      <c r="A53" s="178"/>
      <c r="B53" s="8"/>
      <c r="C53" s="8"/>
      <c r="D53" s="8"/>
      <c r="BB53" s="343"/>
      <c r="BC53" s="335"/>
      <c r="BD53" s="335"/>
      <c r="BE53" s="352"/>
      <c r="BF53" s="353"/>
      <c r="BG53" s="353"/>
      <c r="BH53" s="353"/>
      <c r="BI53" s="353"/>
      <c r="BJ53" s="353"/>
      <c r="BK53" s="354"/>
      <c r="CT53" s="340"/>
      <c r="CU53" s="335"/>
      <c r="CV53" s="335"/>
      <c r="CW53" s="324"/>
      <c r="CX53" s="324"/>
      <c r="CY53" s="324"/>
      <c r="CZ53" s="324"/>
      <c r="DA53" s="324"/>
      <c r="DB53" s="324"/>
      <c r="DC53" s="325"/>
    </row>
    <row r="54" spans="1:107" x14ac:dyDescent="0.25">
      <c r="A54" s="8"/>
      <c r="B54" s="8"/>
      <c r="C54" s="8"/>
      <c r="D54" s="8"/>
      <c r="BB54" s="343"/>
      <c r="BC54" s="335"/>
      <c r="BD54" s="335"/>
      <c r="BE54" s="352"/>
      <c r="BF54" s="353"/>
      <c r="BG54" s="353"/>
      <c r="BH54" s="353"/>
      <c r="BI54" s="353"/>
      <c r="BJ54" s="353"/>
      <c r="BK54" s="354"/>
      <c r="CT54" s="340"/>
      <c r="CU54" s="335"/>
      <c r="CV54" s="335"/>
      <c r="CW54" s="324"/>
      <c r="CX54" s="324"/>
      <c r="CY54" s="324"/>
      <c r="CZ54" s="324"/>
      <c r="DA54" s="324"/>
      <c r="DB54" s="324"/>
      <c r="DC54" s="325"/>
    </row>
    <row r="55" spans="1:107" ht="15.75" thickBot="1" x14ac:dyDescent="0.3">
      <c r="A55" s="8"/>
      <c r="B55" s="8"/>
      <c r="C55" s="8"/>
      <c r="D55" s="8"/>
      <c r="BB55" s="344"/>
      <c r="BC55" s="345"/>
      <c r="BD55" s="345"/>
      <c r="BE55" s="355"/>
      <c r="BF55" s="356"/>
      <c r="BG55" s="356"/>
      <c r="BH55" s="356"/>
      <c r="BI55" s="356"/>
      <c r="BJ55" s="356"/>
      <c r="BK55" s="357"/>
      <c r="CT55" s="341"/>
      <c r="CU55" s="335"/>
      <c r="CV55" s="335"/>
      <c r="CW55" s="324"/>
      <c r="CX55" s="324"/>
      <c r="CY55" s="324"/>
      <c r="CZ55" s="324"/>
      <c r="DA55" s="324"/>
      <c r="DB55" s="324"/>
      <c r="DC55" s="325"/>
    </row>
    <row r="56" spans="1:107" x14ac:dyDescent="0.25">
      <c r="A56" s="8"/>
      <c r="B56" s="8"/>
      <c r="C56" s="8"/>
      <c r="D56" s="8"/>
      <c r="CT56" s="321" t="s">
        <v>14</v>
      </c>
      <c r="CU56" s="320">
        <f>IF(CU52="",CU37+CU41+CU43,CU37+CU41+CU43+CU52)</f>
        <v>390</v>
      </c>
      <c r="CV56" s="320"/>
      <c r="CW56" s="324" t="str">
        <f>IF(B22="Belegung als Wahlpflichtfach (in Jgst. 13)","mindestens 130 Punkte bei einem GE mit weniger als 4 Punkten
mindestens 156 Punkte bei zwei GE mit weniger als 4 Punkten",IF(B22="Ergänzungsprüfung","mindestens 140 Punkte bei einem GE mit weniger als 4 Punkten
mindestens 168 Punkte bei zwei GE mit weniger als 4 Punkten",IF(B22="Französisch fortgeführt (nur in Jgst. 12)","mindestens 140 Punkte bei einem GE mit weniger als 4 Punkten
mindestens 168 Punkte bei zwei GE mit weniger als 4 Punkten",IF(B22="Spanisch fortgeführt (nur in Jgst. 12)","Gesamtergebnis mindestens 4 Punkte.",IF(B22="Ausgewiesenes Sprachniveau B1 durch andere Schule","mindestens 130 Punkte bei einem GE mit weniger als 4 Punkten
mindestens 156 Punkte bei zwei GE mit weniger als 4 Punkten","mindestens 130 Punkte bei einem GE mit weniger als 4 Punkten
mindestens 156 Punkte bei zwei GE mit weniger als 4 Punkten")))))</f>
        <v>mindestens 130 Punkte bei einem GE mit weniger als 4 Punkten
mindestens 156 Punkte bei zwei GE mit weniger als 4 Punkten</v>
      </c>
      <c r="CX56" s="324"/>
      <c r="CY56" s="324"/>
      <c r="CZ56" s="324"/>
      <c r="DA56" s="324"/>
      <c r="DB56" s="324"/>
      <c r="DC56" s="325"/>
    </row>
    <row r="57" spans="1:107" x14ac:dyDescent="0.25">
      <c r="CT57" s="321"/>
      <c r="CU57" s="320"/>
      <c r="CV57" s="320"/>
      <c r="CW57" s="324"/>
      <c r="CX57" s="324"/>
      <c r="CY57" s="324"/>
      <c r="CZ57" s="324"/>
      <c r="DA57" s="324"/>
      <c r="DB57" s="324"/>
      <c r="DC57" s="325"/>
    </row>
    <row r="58" spans="1:107" x14ac:dyDescent="0.25">
      <c r="CT58" s="321"/>
      <c r="CU58" s="320"/>
      <c r="CV58" s="320"/>
      <c r="CW58" s="324"/>
      <c r="CX58" s="324"/>
      <c r="CY58" s="324"/>
      <c r="CZ58" s="324"/>
      <c r="DA58" s="324"/>
      <c r="DB58" s="324"/>
      <c r="DC58" s="325"/>
    </row>
    <row r="59" spans="1:107" ht="15.75" thickBot="1" x14ac:dyDescent="0.3">
      <c r="CT59" s="322"/>
      <c r="CU59" s="323"/>
      <c r="CV59" s="323"/>
      <c r="CW59" s="326"/>
      <c r="CX59" s="326"/>
      <c r="CY59" s="326"/>
      <c r="CZ59" s="326"/>
      <c r="DA59" s="326"/>
      <c r="DB59" s="326"/>
      <c r="DC59" s="327"/>
    </row>
  </sheetData>
  <sheetProtection algorithmName="SHA-512" hashValue="jRxw1ay5yatyf2Mph1fi/l+dZdasbwbwtNDRgA4KpjtdqffjCgG7raDwcdjEGpDKJphHESxFbb1W3GppmBHsrA==" saltValue="RmQHusqPZyqH4I0egRdJ/w==" spinCount="100000" sheet="1" objects="1" scenarios="1" selectLockedCells="1"/>
  <mergeCells count="270">
    <mergeCell ref="EG5:EI5"/>
    <mergeCell ref="EL5:EN5"/>
    <mergeCell ref="EQ5:ES5"/>
    <mergeCell ref="JY5:JZ5"/>
    <mergeCell ref="JH5:JL5"/>
    <mergeCell ref="GP5:GP6"/>
    <mergeCell ref="GL5:GL6"/>
    <mergeCell ref="GM5:GM6"/>
    <mergeCell ref="GN5:GN6"/>
    <mergeCell ref="JM5:JN5"/>
    <mergeCell ref="JS5:JT5"/>
    <mergeCell ref="KD30:KF30"/>
    <mergeCell ref="KE5:KE6"/>
    <mergeCell ref="GG5:GH5"/>
    <mergeCell ref="GR5:GS6"/>
    <mergeCell ref="GT5:GU6"/>
    <mergeCell ref="GV5:GV6"/>
    <mergeCell ref="HY5:IA5"/>
    <mergeCell ref="ID5:IF5"/>
    <mergeCell ref="II5:IK5"/>
    <mergeCell ref="KD5:KD6"/>
    <mergeCell ref="JV5:JW5"/>
    <mergeCell ref="DB5:DC6"/>
    <mergeCell ref="DB7:DC7"/>
    <mergeCell ref="DB8:DC8"/>
    <mergeCell ref="G14:J14"/>
    <mergeCell ref="AT5:AU5"/>
    <mergeCell ref="BB27:BD27"/>
    <mergeCell ref="BH17:BI17"/>
    <mergeCell ref="BJ14:BK14"/>
    <mergeCell ref="BJ15:BK15"/>
    <mergeCell ref="BJ16:BK16"/>
    <mergeCell ref="BJ17:BK17"/>
    <mergeCell ref="BH12:BI12"/>
    <mergeCell ref="BH13:BI13"/>
    <mergeCell ref="BH14:BI14"/>
    <mergeCell ref="BH11:BI11"/>
    <mergeCell ref="BH15:BI15"/>
    <mergeCell ref="BH16:BI16"/>
    <mergeCell ref="BH7:BI7"/>
    <mergeCell ref="BH27:BL27"/>
    <mergeCell ref="CZ24:DD25"/>
    <mergeCell ref="CZ26:DD26"/>
    <mergeCell ref="BF5:BF6"/>
    <mergeCell ref="BH8:BI8"/>
    <mergeCell ref="CE4:CG4"/>
    <mergeCell ref="CO5:CP5"/>
    <mergeCell ref="BJ5:BK6"/>
    <mergeCell ref="CT24:CV24"/>
    <mergeCell ref="CT25:CV25"/>
    <mergeCell ref="CU15:CV15"/>
    <mergeCell ref="CZ14:DA14"/>
    <mergeCell ref="CZ15:DA15"/>
    <mergeCell ref="CZ16:DA16"/>
    <mergeCell ref="CZ17:DA17"/>
    <mergeCell ref="CT5:CT6"/>
    <mergeCell ref="CU5:CU6"/>
    <mergeCell ref="BY5:CB5"/>
    <mergeCell ref="CI5:CJ5"/>
    <mergeCell ref="CL5:CM5"/>
    <mergeCell ref="BH20:BL21"/>
    <mergeCell ref="AM4:AO4"/>
    <mergeCell ref="M5:N5"/>
    <mergeCell ref="M15:N15"/>
    <mergeCell ref="BB25:BD25"/>
    <mergeCell ref="BC15:BD15"/>
    <mergeCell ref="BB24:BD24"/>
    <mergeCell ref="AW5:AX5"/>
    <mergeCell ref="BB5:BB6"/>
    <mergeCell ref="BC5:BC6"/>
    <mergeCell ref="BD5:BD6"/>
    <mergeCell ref="AA4:AF4"/>
    <mergeCell ref="B4:J4"/>
    <mergeCell ref="B20:E20"/>
    <mergeCell ref="D15:E15"/>
    <mergeCell ref="C19:E19"/>
    <mergeCell ref="B5:B6"/>
    <mergeCell ref="C5:C6"/>
    <mergeCell ref="D5:D6"/>
    <mergeCell ref="E5:E6"/>
    <mergeCell ref="G5:J5"/>
    <mergeCell ref="B2:D2"/>
    <mergeCell ref="CT43:CT51"/>
    <mergeCell ref="CT4:CV4"/>
    <mergeCell ref="BB33:BK34"/>
    <mergeCell ref="BE35:BK36"/>
    <mergeCell ref="BE37:BK40"/>
    <mergeCell ref="CT29:CV29"/>
    <mergeCell ref="CT28:CV28"/>
    <mergeCell ref="B29:E29"/>
    <mergeCell ref="B28:E28"/>
    <mergeCell ref="B22:E22"/>
    <mergeCell ref="B25:E25"/>
    <mergeCell ref="BB4:BD4"/>
    <mergeCell ref="BL5:BL6"/>
    <mergeCell ref="CT26:CV26"/>
    <mergeCell ref="CT27:CV27"/>
    <mergeCell ref="B24:C24"/>
    <mergeCell ref="BB28:BD28"/>
    <mergeCell ref="BB26:BD26"/>
    <mergeCell ref="B27:E27"/>
    <mergeCell ref="B26:E26"/>
    <mergeCell ref="CV5:CV6"/>
    <mergeCell ref="BJ7:BK7"/>
    <mergeCell ref="BJ8:BK8"/>
    <mergeCell ref="AG5:AJ5"/>
    <mergeCell ref="AQ5:AR5"/>
    <mergeCell ref="CT33:DC34"/>
    <mergeCell ref="CT35:CT36"/>
    <mergeCell ref="CU35:CV36"/>
    <mergeCell ref="CW35:DC36"/>
    <mergeCell ref="CT37:CT40"/>
    <mergeCell ref="CU37:CV40"/>
    <mergeCell ref="CW37:DC40"/>
    <mergeCell ref="BJ11:BK11"/>
    <mergeCell ref="BJ12:BK12"/>
    <mergeCell ref="BJ13:BK13"/>
    <mergeCell ref="CX5:CX6"/>
    <mergeCell ref="CZ5:DA6"/>
    <mergeCell ref="CZ7:DA7"/>
    <mergeCell ref="CZ8:DA8"/>
    <mergeCell ref="BJ9:BK9"/>
    <mergeCell ref="BJ10:BK10"/>
    <mergeCell ref="BH10:BI10"/>
    <mergeCell ref="BH5:BI6"/>
    <mergeCell ref="BH9:BI9"/>
    <mergeCell ref="BB29:BD29"/>
    <mergeCell ref="CT30:CV30"/>
    <mergeCell ref="CZ13:DA13"/>
    <mergeCell ref="FK22:FL22"/>
    <mergeCell ref="FK21:FL21"/>
    <mergeCell ref="CT41:CT42"/>
    <mergeCell ref="CU41:CV42"/>
    <mergeCell ref="CT56:CT59"/>
    <mergeCell ref="CU56:CV59"/>
    <mergeCell ref="CW56:DC59"/>
    <mergeCell ref="BB35:BB36"/>
    <mergeCell ref="BC35:BD36"/>
    <mergeCell ref="BB37:BB40"/>
    <mergeCell ref="BC37:BD40"/>
    <mergeCell ref="BB41:BB42"/>
    <mergeCell ref="BC41:BD42"/>
    <mergeCell ref="BB43:BB51"/>
    <mergeCell ref="BC43:BD51"/>
    <mergeCell ref="CT52:CT55"/>
    <mergeCell ref="CU52:CV55"/>
    <mergeCell ref="CW52:DC55"/>
    <mergeCell ref="BB52:BB55"/>
    <mergeCell ref="BC52:BD55"/>
    <mergeCell ref="CW41:DC51"/>
    <mergeCell ref="CU43:CV51"/>
    <mergeCell ref="BE52:BK55"/>
    <mergeCell ref="GL28:GN28"/>
    <mergeCell ref="GR17:GS17"/>
    <mergeCell ref="GL27:GN27"/>
    <mergeCell ref="GR27:GV27"/>
    <mergeCell ref="GR26:GV26"/>
    <mergeCell ref="GL26:GN26"/>
    <mergeCell ref="B41:M41"/>
    <mergeCell ref="B42:M43"/>
    <mergeCell ref="B33:AI34"/>
    <mergeCell ref="B35:M35"/>
    <mergeCell ref="B36:M36"/>
    <mergeCell ref="B37:M37"/>
    <mergeCell ref="B38:M38"/>
    <mergeCell ref="CZ27:DD27"/>
    <mergeCell ref="DB17:DC17"/>
    <mergeCell ref="BH24:BL25"/>
    <mergeCell ref="BH26:BL26"/>
    <mergeCell ref="BE41:BK51"/>
    <mergeCell ref="B21:E21"/>
    <mergeCell ref="B39:M39"/>
    <mergeCell ref="B40:M40"/>
    <mergeCell ref="AD26:AE26"/>
    <mergeCell ref="GL29:GN29"/>
    <mergeCell ref="DD5:DD6"/>
    <mergeCell ref="GL24:GN24"/>
    <mergeCell ref="GR24:GV25"/>
    <mergeCell ref="GL25:GN25"/>
    <mergeCell ref="GM15:GN15"/>
    <mergeCell ref="GR15:GS15"/>
    <mergeCell ref="GT15:GU15"/>
    <mergeCell ref="GR16:GS16"/>
    <mergeCell ref="GT16:GU16"/>
    <mergeCell ref="FK20:FL20"/>
    <mergeCell ref="CZ20:DD21"/>
    <mergeCell ref="DB14:DC14"/>
    <mergeCell ref="DB15:DC15"/>
    <mergeCell ref="DB16:DC16"/>
    <mergeCell ref="FP5:FT5"/>
    <mergeCell ref="DB9:DC9"/>
    <mergeCell ref="DB10:DC10"/>
    <mergeCell ref="DB11:DC11"/>
    <mergeCell ref="DB12:DC12"/>
    <mergeCell ref="DB13:DC13"/>
    <mergeCell ref="CZ9:DA9"/>
    <mergeCell ref="CZ10:DA10"/>
    <mergeCell ref="CZ11:DA11"/>
    <mergeCell ref="CZ12:DA12"/>
    <mergeCell ref="KL11:KM11"/>
    <mergeCell ref="JC20:JD20"/>
    <mergeCell ref="JC21:JD21"/>
    <mergeCell ref="JC22:JD22"/>
    <mergeCell ref="GR7:GS7"/>
    <mergeCell ref="GT7:GU7"/>
    <mergeCell ref="GR8:GS8"/>
    <mergeCell ref="GT8:GU8"/>
    <mergeCell ref="GR9:GS9"/>
    <mergeCell ref="GT9:GU9"/>
    <mergeCell ref="KJ12:KK12"/>
    <mergeCell ref="KL12:KM12"/>
    <mergeCell ref="KJ13:KK13"/>
    <mergeCell ref="GT12:GU12"/>
    <mergeCell ref="GR13:GS13"/>
    <mergeCell ref="GT13:GU13"/>
    <mergeCell ref="GR14:GS14"/>
    <mergeCell ref="GT14:GU14"/>
    <mergeCell ref="GR10:GS10"/>
    <mergeCell ref="GT10:GU10"/>
    <mergeCell ref="GT17:GU17"/>
    <mergeCell ref="KJ20:KN21"/>
    <mergeCell ref="GR20:GV21"/>
    <mergeCell ref="KH5:KH6"/>
    <mergeCell ref="KD29:KF29"/>
    <mergeCell ref="BB2:BL2"/>
    <mergeCell ref="CT2:DD2"/>
    <mergeCell ref="GL2:GV2"/>
    <mergeCell ref="KD2:KN2"/>
    <mergeCell ref="DH4:FV4"/>
    <mergeCell ref="KD26:KF26"/>
    <mergeCell ref="KJ26:KN26"/>
    <mergeCell ref="KD27:KF27"/>
    <mergeCell ref="KJ27:KN27"/>
    <mergeCell ref="KD28:KF28"/>
    <mergeCell ref="KJ16:KK16"/>
    <mergeCell ref="KL16:KM16"/>
    <mergeCell ref="KJ17:KK17"/>
    <mergeCell ref="KL17:KM17"/>
    <mergeCell ref="KD24:KF24"/>
    <mergeCell ref="KJ24:KN25"/>
    <mergeCell ref="KJ5:KK6"/>
    <mergeCell ref="KL5:KM6"/>
    <mergeCell ref="KF5:KF6"/>
    <mergeCell ref="KN5:KN6"/>
    <mergeCell ref="KJ7:KK7"/>
    <mergeCell ref="KL7:KM7"/>
    <mergeCell ref="B52:D52"/>
    <mergeCell ref="KD25:KF25"/>
    <mergeCell ref="KJ14:KK14"/>
    <mergeCell ref="KL14:KM14"/>
    <mergeCell ref="KE15:KF15"/>
    <mergeCell ref="KJ15:KK15"/>
    <mergeCell ref="KL15:KM15"/>
    <mergeCell ref="KJ11:KK11"/>
    <mergeCell ref="G1:BL1"/>
    <mergeCell ref="KL13:KM13"/>
    <mergeCell ref="KJ8:KK8"/>
    <mergeCell ref="KL8:KM8"/>
    <mergeCell ref="KJ9:KK9"/>
    <mergeCell ref="KL9:KM9"/>
    <mergeCell ref="KJ10:KK10"/>
    <mergeCell ref="KL10:KM10"/>
    <mergeCell ref="GR11:GS11"/>
    <mergeCell ref="GT11:GU11"/>
    <mergeCell ref="GR12:GS12"/>
    <mergeCell ref="GY4:JN4"/>
    <mergeCell ref="JO4:JW4"/>
    <mergeCell ref="FU5:FV5"/>
    <mergeCell ref="GA5:GB5"/>
    <mergeCell ref="GD5:GE5"/>
  </mergeCells>
  <conditionalFormatting sqref="BO7:BO17 BC7:BE17 CU7:CW17">
    <cfRule type="containsText" dxfId="324" priority="117" operator="containsText" text="(">
      <formula>NOT(ISERROR(SEARCH("(",BC7)))</formula>
    </cfRule>
  </conditionalFormatting>
  <conditionalFormatting sqref="BE30:BN30">
    <cfRule type="containsText" dxfId="323" priority="180" operator="containsText" text="NICHT BESTANDEN">
      <formula>NOT(ISERROR(SEARCH("NICHT BESTANDEN",BE30)))</formula>
    </cfRule>
    <cfRule type="containsText" dxfId="322" priority="181" operator="containsText" text="BESTANDEN">
      <formula>NOT(ISERROR(SEARCH("BESTANDEN",BE30)))</formula>
    </cfRule>
  </conditionalFormatting>
  <conditionalFormatting sqref="BE23:BN23">
    <cfRule type="notContainsBlanks" dxfId="321" priority="185">
      <formula>LEN(TRIM(BE23))&gt;0</formula>
    </cfRule>
  </conditionalFormatting>
  <conditionalFormatting sqref="CY8:CZ9 CY11:CZ12">
    <cfRule type="cellIs" dxfId="320" priority="177" operator="equal">
      <formula>0.001</formula>
    </cfRule>
  </conditionalFormatting>
  <conditionalFormatting sqref="CW23">
    <cfRule type="notContainsBlanks" dxfId="319" priority="184">
      <formula>LEN(TRIM(CW23))&gt;0</formula>
    </cfRule>
  </conditionalFormatting>
  <conditionalFormatting sqref="D24">
    <cfRule type="expression" dxfId="318" priority="172">
      <formula>$B$22 = "Ergänzungsprüfung"</formula>
    </cfRule>
  </conditionalFormatting>
  <conditionalFormatting sqref="D24:E24">
    <cfRule type="expression" dxfId="317" priority="123">
      <formula>$B$22 = "Spanisch fortgeführt (nur in Jgst. 12)"</formula>
    </cfRule>
    <cfRule type="expression" dxfId="316" priority="171">
      <formula>$B$22 = "Französisch fortgeführt (nur in Jgst. 12)"</formula>
    </cfRule>
  </conditionalFormatting>
  <conditionalFormatting sqref="CW27">
    <cfRule type="cellIs" dxfId="315" priority="170" operator="equal">
      <formula>$CW$26</formula>
    </cfRule>
  </conditionalFormatting>
  <conditionalFormatting sqref="CW24">
    <cfRule type="cellIs" dxfId="314" priority="163" operator="between">
      <formula>1</formula>
      <formula>16</formula>
    </cfRule>
  </conditionalFormatting>
  <conditionalFormatting sqref="B4">
    <cfRule type="expression" dxfId="313" priority="150">
      <formula>$B$2 ="Gestaltung"</formula>
    </cfRule>
    <cfRule type="expression" dxfId="312" priority="151">
      <formula>$B$2 = "ABU"</formula>
    </cfRule>
    <cfRule type="expression" dxfId="311" priority="152">
      <formula>$B$2 = "Internationale Wirtschaft"</formula>
    </cfRule>
    <cfRule type="expression" dxfId="310" priority="153">
      <formula>$B$2 = "Wirtschaft"</formula>
    </cfRule>
    <cfRule type="expression" dxfId="309" priority="154">
      <formula>$B$2 = "Technik"</formula>
    </cfRule>
    <cfRule type="expression" dxfId="308" priority="155">
      <formula>$B$2 = "Gesundheit"</formula>
    </cfRule>
    <cfRule type="expression" dxfId="307" priority="156">
      <formula>$B$2 = "Sozialwesen"</formula>
    </cfRule>
  </conditionalFormatting>
  <conditionalFormatting sqref="BB4">
    <cfRule type="expression" dxfId="306" priority="143">
      <formula>$B$2 ="Gestaltung"</formula>
    </cfRule>
    <cfRule type="expression" dxfId="305" priority="144">
      <formula>$B$2 = "ABU"</formula>
    </cfRule>
    <cfRule type="expression" dxfId="304" priority="145">
      <formula>$B$2 = "Internationale Wirtschaft"</formula>
    </cfRule>
    <cfRule type="expression" dxfId="303" priority="146">
      <formula>$B$2 = "Wirtschaft"</formula>
    </cfRule>
    <cfRule type="expression" dxfId="302" priority="147">
      <formula>$B$2 = "Technik"</formula>
    </cfRule>
    <cfRule type="expression" dxfId="301" priority="148">
      <formula>$B$2 = "Gesundheit"</formula>
    </cfRule>
    <cfRule type="expression" dxfId="300" priority="149">
      <formula>$B$2 = "Sozialwesen"</formula>
    </cfRule>
  </conditionalFormatting>
  <conditionalFormatting sqref="CT4">
    <cfRule type="expression" dxfId="299" priority="136">
      <formula>$B$2 ="Gestaltung"</formula>
    </cfRule>
    <cfRule type="expression" dxfId="298" priority="137">
      <formula>$B$2 = "ABU"</formula>
    </cfRule>
    <cfRule type="expression" dxfId="297" priority="138">
      <formula>$B$2 = "Internationale Wirtschaft"</formula>
    </cfRule>
    <cfRule type="expression" dxfId="296" priority="139">
      <formula>$B$2 = "Wirtschaft"</formula>
    </cfRule>
    <cfRule type="expression" dxfId="295" priority="140">
      <formula>$B$2 = "Technik"</formula>
    </cfRule>
    <cfRule type="expression" dxfId="294" priority="141">
      <formula>$B$2 = "Gesundheit"</formula>
    </cfRule>
    <cfRule type="expression" dxfId="293" priority="142">
      <formula>$B$2 = "Sozialwesen"</formula>
    </cfRule>
  </conditionalFormatting>
  <conditionalFormatting sqref="B2:D2">
    <cfRule type="cellIs" dxfId="292" priority="129" operator="equal">
      <formula>"Gestaltung"</formula>
    </cfRule>
    <cfRule type="cellIs" dxfId="291" priority="130" operator="equal">
      <formula>"ABU"</formula>
    </cfRule>
    <cfRule type="cellIs" dxfId="290" priority="131" operator="equal">
      <formula>"Internationale Wirtschaft"</formula>
    </cfRule>
    <cfRule type="cellIs" dxfId="289" priority="132" operator="equal">
      <formula>"Wirtschaft"</formula>
    </cfRule>
    <cfRule type="cellIs" dxfId="288" priority="133" operator="equal">
      <formula>"Technik"</formula>
    </cfRule>
    <cfRule type="containsText" dxfId="287" priority="134" operator="containsText" text="Sozialwesen">
      <formula>NOT(ISERROR(SEARCH("Sozialwesen",B2)))</formula>
    </cfRule>
    <cfRule type="cellIs" dxfId="286" priority="135" operator="equal">
      <formula>"Gesundheit"</formula>
    </cfRule>
  </conditionalFormatting>
  <conditionalFormatting sqref="B22:J22">
    <cfRule type="expression" dxfId="285" priority="128">
      <formula>$B$21 = ""</formula>
    </cfRule>
  </conditionalFormatting>
  <conditionalFormatting sqref="BE24">
    <cfRule type="cellIs" dxfId="284" priority="126" operator="between">
      <formula>1</formula>
      <formula>16</formula>
    </cfRule>
  </conditionalFormatting>
  <conditionalFormatting sqref="B25:J25">
    <cfRule type="beginsWith" dxfId="283" priority="124" operator="beginsWith" text="Zweite Fremdsprache:">
      <formula>LEFT(B25,LEN("Zweite Fremdsprache:"))="Zweite Fremdsprache:"</formula>
    </cfRule>
    <cfRule type="containsText" dxfId="282" priority="125" operator="containsText" text="Die Eingabe der belegten zweiten Fremdsprache als Wahlpflichtfach ist zwingend erforderlich.">
      <formula>NOT(ISERROR(SEARCH("Die Eingabe der belegten zweiten Fremdsprache als Wahlpflichtfach ist zwingend erforderlich.",B25)))</formula>
    </cfRule>
  </conditionalFormatting>
  <conditionalFormatting sqref="D16:E16 BC16:BD16 CU16:CV16">
    <cfRule type="expression" dxfId="281" priority="122">
      <formula>$Q$16="nein"</formula>
    </cfRule>
  </conditionalFormatting>
  <conditionalFormatting sqref="D17:E17 BC17:BD17 CU17:CV17">
    <cfRule type="expression" dxfId="280" priority="116">
      <formula>$Q$17="nein"</formula>
    </cfRule>
  </conditionalFormatting>
  <conditionalFormatting sqref="D17">
    <cfRule type="expression" dxfId="279" priority="120">
      <formula>$D$17&lt;&gt;""</formula>
    </cfRule>
  </conditionalFormatting>
  <conditionalFormatting sqref="BC17 CU17">
    <cfRule type="cellIs" dxfId="278" priority="121" operator="between">
      <formula>0</formula>
      <formula>15</formula>
    </cfRule>
  </conditionalFormatting>
  <conditionalFormatting sqref="E17">
    <cfRule type="expression" dxfId="277" priority="118">
      <formula>$E$17&lt;&gt;""</formula>
    </cfRule>
  </conditionalFormatting>
  <conditionalFormatting sqref="BD17 CV17">
    <cfRule type="cellIs" dxfId="276" priority="119" operator="between">
      <formula>0</formula>
      <formula>15</formula>
    </cfRule>
  </conditionalFormatting>
  <conditionalFormatting sqref="B26:J26">
    <cfRule type="containsText" dxfId="275" priority="109" operator="containsText" text="Kein nachgewiesenes Sprachniveau B1">
      <formula>NOT(ISERROR(SEARCH("Kein nachgewiesenes Sprachniveau B1",B26)))</formula>
    </cfRule>
  </conditionalFormatting>
  <conditionalFormatting sqref="I8:J9 I11:J12">
    <cfRule type="cellIs" dxfId="274" priority="98" operator="equal">
      <formula>0.001</formula>
    </cfRule>
  </conditionalFormatting>
  <conditionalFormatting sqref="DB7:DC17">
    <cfRule type="cellIs" dxfId="273" priority="91" operator="between">
      <formula>0</formula>
      <formula>3</formula>
    </cfRule>
  </conditionalFormatting>
  <conditionalFormatting sqref="BJ7:BK17">
    <cfRule type="cellIs" dxfId="272" priority="90" operator="between">
      <formula>0</formula>
      <formula>3</formula>
    </cfRule>
  </conditionalFormatting>
  <conditionalFormatting sqref="BH24">
    <cfRule type="containsText" dxfId="271" priority="88" operator="containsText" text="NICHT BESTANDEN">
      <formula>NOT(ISERROR(SEARCH("NICHT BESTANDEN",BH24)))</formula>
    </cfRule>
    <cfRule type="containsText" dxfId="270" priority="89" operator="containsText" text="BESTANDEN">
      <formula>NOT(ISERROR(SEARCH("BESTANDEN",BH24)))</formula>
    </cfRule>
  </conditionalFormatting>
  <conditionalFormatting sqref="CZ24">
    <cfRule type="containsText" dxfId="269" priority="85" operator="containsText" text="NICHT BESTANDEN">
      <formula>NOT(ISERROR(SEARCH("NICHT BESTANDEN",CZ24)))</formula>
    </cfRule>
    <cfRule type="beginsWith" dxfId="268" priority="86" operator="beginsWith" text="BESTANDEN">
      <formula>LEFT(CZ24,LEN("BESTANDEN"))="BESTANDEN"</formula>
    </cfRule>
  </conditionalFormatting>
  <conditionalFormatting sqref="DH13:DH14 DH17">
    <cfRule type="containsText" dxfId="267" priority="84" operator="containsText" text="(">
      <formula>NOT(ISERROR(SEARCH("(",DH13)))</formula>
    </cfRule>
  </conditionalFormatting>
  <conditionalFormatting sqref="GY13:GY14 GY17">
    <cfRule type="containsText" dxfId="266" priority="83" operator="containsText" text="(">
      <formula>NOT(ISERROR(SEARCH("(",GY13)))</formula>
    </cfRule>
  </conditionalFormatting>
  <conditionalFormatting sqref="GM7:GO17">
    <cfRule type="containsText" dxfId="265" priority="75" operator="containsText" text="(">
      <formula>NOT(ISERROR(SEARCH("(",GM7)))</formula>
    </cfRule>
  </conditionalFormatting>
  <conditionalFormatting sqref="GO23:GW23">
    <cfRule type="notContainsBlanks" dxfId="264" priority="80">
      <formula>LEN(TRIM(GO23))&gt;0</formula>
    </cfRule>
  </conditionalFormatting>
  <conditionalFormatting sqref="GO24">
    <cfRule type="cellIs" dxfId="263" priority="79" operator="between">
      <formula>1</formula>
      <formula>16</formula>
    </cfRule>
  </conditionalFormatting>
  <conditionalFormatting sqref="GM16:GN16">
    <cfRule type="expression" dxfId="262" priority="78">
      <formula>$Q$16="nein"</formula>
    </cfRule>
  </conditionalFormatting>
  <conditionalFormatting sqref="GM17:GN17">
    <cfRule type="expression" dxfId="261" priority="74">
      <formula>$Q$17="nein"</formula>
    </cfRule>
  </conditionalFormatting>
  <conditionalFormatting sqref="GM17">
    <cfRule type="cellIs" dxfId="260" priority="77" operator="between">
      <formula>0</formula>
      <formula>15</formula>
    </cfRule>
  </conditionalFormatting>
  <conditionalFormatting sqref="GN17">
    <cfRule type="cellIs" dxfId="259" priority="76" operator="between">
      <formula>0</formula>
      <formula>15</formula>
    </cfRule>
  </conditionalFormatting>
  <conditionalFormatting sqref="GT7:GU17">
    <cfRule type="cellIs" dxfId="258" priority="73" operator="between">
      <formula>0</formula>
      <formula>3</formula>
    </cfRule>
  </conditionalFormatting>
  <conditionalFormatting sqref="GR24">
    <cfRule type="containsText" dxfId="257" priority="71" operator="containsText" text="NICHT BESTANDEN">
      <formula>NOT(ISERROR(SEARCH("NICHT BESTANDEN",GR24)))</formula>
    </cfRule>
    <cfRule type="containsText" dxfId="256" priority="72" operator="containsText" text="BESTANDEN">
      <formula>NOT(ISERROR(SEARCH("BESTANDEN",GR24)))</formula>
    </cfRule>
  </conditionalFormatting>
  <conditionalFormatting sqref="KE7:KG17">
    <cfRule type="containsText" dxfId="255" priority="61" operator="containsText" text="(">
      <formula>NOT(ISERROR(SEARCH("(",KE7)))</formula>
    </cfRule>
  </conditionalFormatting>
  <conditionalFormatting sqref="KI8:KJ9 KI11:KJ12">
    <cfRule type="cellIs" dxfId="254" priority="69" operator="equal">
      <formula>0.001</formula>
    </cfRule>
  </conditionalFormatting>
  <conditionalFormatting sqref="KG30">
    <cfRule type="containsText" dxfId="253" priority="67" operator="containsText" text="NICHT BESTANDEN">
      <formula>NOT(ISERROR(SEARCH("NICHT BESTANDEN",KG30)))</formula>
    </cfRule>
    <cfRule type="containsText" dxfId="252" priority="68" operator="containsText" text="BESTANDEN">
      <formula>NOT(ISERROR(SEARCH("BESTANDEN",KG30)))</formula>
    </cfRule>
  </conditionalFormatting>
  <conditionalFormatting sqref="KG23">
    <cfRule type="notContainsBlanks" dxfId="251" priority="70">
      <formula>LEN(TRIM(KG23))&gt;0</formula>
    </cfRule>
  </conditionalFormatting>
  <conditionalFormatting sqref="KG24">
    <cfRule type="cellIs" dxfId="250" priority="65" operator="between">
      <formula>1</formula>
      <formula>16</formula>
    </cfRule>
  </conditionalFormatting>
  <conditionalFormatting sqref="KE16:KF16">
    <cfRule type="expression" dxfId="249" priority="64">
      <formula>$Q$16="nein"</formula>
    </cfRule>
  </conditionalFormatting>
  <conditionalFormatting sqref="KE17:KF17">
    <cfRule type="expression" dxfId="248" priority="60">
      <formula>$Q$17="nein"</formula>
    </cfRule>
  </conditionalFormatting>
  <conditionalFormatting sqref="KE17">
    <cfRule type="cellIs" dxfId="247" priority="63" operator="between">
      <formula>0</formula>
      <formula>15</formula>
    </cfRule>
  </conditionalFormatting>
  <conditionalFormatting sqref="KF17">
    <cfRule type="cellIs" dxfId="246" priority="62" operator="between">
      <formula>0</formula>
      <formula>15</formula>
    </cfRule>
  </conditionalFormatting>
  <conditionalFormatting sqref="KL7:KM17">
    <cfRule type="cellIs" dxfId="245" priority="49" operator="between">
      <formula>0</formula>
      <formula>3</formula>
    </cfRule>
  </conditionalFormatting>
  <conditionalFormatting sqref="KJ24">
    <cfRule type="containsText" dxfId="244" priority="47" operator="containsText" text="NICHT BESTANDEN">
      <formula>NOT(ISERROR(SEARCH("NICHT BESTANDEN",KJ24)))</formula>
    </cfRule>
    <cfRule type="beginsWith" dxfId="243" priority="48" operator="beginsWith" text="BESTANDEN">
      <formula>LEFT(KJ24,LEN("BESTANDEN"))="BESTANDEN"</formula>
    </cfRule>
  </conditionalFormatting>
  <conditionalFormatting sqref="KG27">
    <cfRule type="cellIs" dxfId="242" priority="44" operator="equal">
      <formula>$KG$26</formula>
    </cfRule>
  </conditionalFormatting>
  <conditionalFormatting sqref="CT1:DD19 CT21:CY21 CT20:CZ20">
    <cfRule type="expression" dxfId="241" priority="36">
      <formula>$B$22="Ausgewiesenes Sprachniveau B1 durch andere Schule"</formula>
    </cfRule>
  </conditionalFormatting>
  <conditionalFormatting sqref="CT21:CW29">
    <cfRule type="expression" dxfId="240" priority="37">
      <formula>$B$22="Ausgewiesenes Sprachniveau B1 durch andere Schule"</formula>
    </cfRule>
    <cfRule type="expression" dxfId="239" priority="42">
      <formula>$B$20="Fachgebundene Hochschulreife"</formula>
    </cfRule>
  </conditionalFormatting>
  <conditionalFormatting sqref="CT33:DC59">
    <cfRule type="expression" dxfId="238" priority="38">
      <formula>$B$22="Ausgewiesenes Sprachniveau B1 durch andere Schule"</formula>
    </cfRule>
    <cfRule type="expression" dxfId="237" priority="41">
      <formula>$B$20="Fachgebundene Hochschulreife"</formula>
    </cfRule>
  </conditionalFormatting>
  <conditionalFormatting sqref="GL1:GV19 GL22:GV31 GL20:GR20 GL21:GQ21">
    <cfRule type="expression" dxfId="236" priority="7">
      <formula>AND($FM$21="nein",$FM$22="aktiv")</formula>
    </cfRule>
  </conditionalFormatting>
  <conditionalFormatting sqref="KD1:KN19 KD22:KN31 KD20:KJ20 KD21:KI21">
    <cfRule type="expression" dxfId="235" priority="9">
      <formula>AND($JE$21="nein",$JE$22="aktiv")</formula>
    </cfRule>
  </conditionalFormatting>
  <conditionalFormatting sqref="CT1:DD19 CT21:CY21 CT20:CZ20">
    <cfRule type="expression" dxfId="234" priority="43">
      <formula>$B$20="Fachgebundene Hochschulreife"</formula>
    </cfRule>
  </conditionalFormatting>
  <conditionalFormatting sqref="BF8:BF9">
    <cfRule type="cellIs" dxfId="233" priority="31" operator="equal">
      <formula>0.001</formula>
    </cfRule>
  </conditionalFormatting>
  <conditionalFormatting sqref="BF11">
    <cfRule type="cellIs" dxfId="232" priority="29" operator="equal">
      <formula>0.001</formula>
    </cfRule>
  </conditionalFormatting>
  <conditionalFormatting sqref="BF12">
    <cfRule type="cellIs" dxfId="231" priority="28" operator="equal">
      <formula>0.001</formula>
    </cfRule>
  </conditionalFormatting>
  <conditionalFormatting sqref="CX8:CX9">
    <cfRule type="cellIs" dxfId="230" priority="27" operator="equal">
      <formula>0.001</formula>
    </cfRule>
  </conditionalFormatting>
  <conditionalFormatting sqref="KH8:KH9">
    <cfRule type="cellIs" dxfId="229" priority="21" operator="equal">
      <formula>0.001</formula>
    </cfRule>
  </conditionalFormatting>
  <conditionalFormatting sqref="KH11:KH12">
    <cfRule type="cellIs" dxfId="228" priority="18" operator="equal">
      <formula>0.001</formula>
    </cfRule>
  </conditionalFormatting>
  <conditionalFormatting sqref="GP7">
    <cfRule type="expression" dxfId="227" priority="17">
      <formula>AND($FM$21="nein",$FM$22="aktiv")</formula>
    </cfRule>
  </conditionalFormatting>
  <conditionalFormatting sqref="GP5:GP6">
    <cfRule type="expression" dxfId="226" priority="16">
      <formula>AND($FM$21="nein",$FM$22="aktiv")</formula>
    </cfRule>
  </conditionalFormatting>
  <conditionalFormatting sqref="GP8">
    <cfRule type="cellIs" dxfId="225" priority="15" operator="equal">
      <formula>0.001</formula>
    </cfRule>
  </conditionalFormatting>
  <conditionalFormatting sqref="GP9">
    <cfRule type="cellIs" dxfId="224" priority="14" operator="equal">
      <formula>0.001</formula>
    </cfRule>
  </conditionalFormatting>
  <conditionalFormatting sqref="GP11">
    <cfRule type="cellIs" dxfId="223" priority="13" operator="equal">
      <formula>0.001</formula>
    </cfRule>
  </conditionalFormatting>
  <conditionalFormatting sqref="GP12">
    <cfRule type="cellIs" dxfId="222" priority="12" operator="equal">
      <formula>0.001</formula>
    </cfRule>
  </conditionalFormatting>
  <conditionalFormatting sqref="CX11:CX12">
    <cfRule type="cellIs" dxfId="221" priority="11" operator="equal">
      <formula>0.001</formula>
    </cfRule>
  </conditionalFormatting>
  <conditionalFormatting sqref="KJ24:KN25">
    <cfRule type="expression" dxfId="220" priority="32">
      <formula>$KJ$24="Eingaben unvollständig"</formula>
    </cfRule>
  </conditionalFormatting>
  <conditionalFormatting sqref="KJ26:KN26">
    <cfRule type="expression" dxfId="219" priority="10">
      <formula>$KJ$24="Eingaben unvollständig"</formula>
    </cfRule>
  </conditionalFormatting>
  <conditionalFormatting sqref="GR24:GV25">
    <cfRule type="expression" dxfId="218" priority="33">
      <formula>$GR$24="Eingaben unvollständig"</formula>
    </cfRule>
  </conditionalFormatting>
  <conditionalFormatting sqref="GR26:GV26">
    <cfRule type="expression" dxfId="217" priority="8">
      <formula>$GR$24="Eingaben unvollständig"</formula>
    </cfRule>
  </conditionalFormatting>
  <conditionalFormatting sqref="CZ24:DD25">
    <cfRule type="expression" dxfId="216" priority="6">
      <formula>$CZ$24="Eingaben unvollständig"</formula>
    </cfRule>
  </conditionalFormatting>
  <conditionalFormatting sqref="CZ26:DD26">
    <cfRule type="expression" dxfId="215" priority="5">
      <formula>$CZ$24="Eingaben unvollständig"</formula>
    </cfRule>
  </conditionalFormatting>
  <conditionalFormatting sqref="BH24:BL25">
    <cfRule type="expression" dxfId="214" priority="4">
      <formula>$BH$24="Eingaben unvollständig"</formula>
    </cfRule>
  </conditionalFormatting>
  <conditionalFormatting sqref="BH26:BL26">
    <cfRule type="expression" dxfId="213" priority="3">
      <formula>$BH$24="Eingaben unvollständig"</formula>
    </cfRule>
  </conditionalFormatting>
  <conditionalFormatting sqref="J24">
    <cfRule type="expression" dxfId="212" priority="2">
      <formula>$B$21 = ""</formula>
    </cfRule>
  </conditionalFormatting>
  <conditionalFormatting sqref="F24:I24">
    <cfRule type="containsText" dxfId="211" priority="1" operator="containsText" text="Kein nachgewiesenes Sprachniveau B1">
      <formula>NOT(ISERROR(SEARCH("Kein nachgewiesenes Sprachniveau B1",F24)))</formula>
    </cfRule>
  </conditionalFormatting>
  <dataValidations count="3">
    <dataValidation type="whole" allowBlank="1" showInputMessage="1" showErrorMessage="1" errorTitle="FEHLER" error="Der eingegebene Punktwert entspricht nicht dem Punktesystem nach FOBOSO §19." sqref="G8:H9 G11:H12 D24:J24" xr:uid="{00000000-0002-0000-0100-000000000000}">
      <formula1>0</formula1>
      <formula2>15</formula2>
    </dataValidation>
    <dataValidation type="list" allowBlank="1" showInputMessage="1" showErrorMessage="1" sqref="B20:E20" xr:uid="{00000000-0002-0000-0100-000001000000}">
      <formula1>INDIRECT("Abschluss_tab")</formula1>
    </dataValidation>
    <dataValidation type="list" allowBlank="1" showErrorMessage="1" errorTitle="falsche Eingabe" sqref="C16:C17 C7:C14" xr:uid="{00000000-0002-0000-0100-000002000000}">
      <formula1>INDIRECT("Streichkategorien_tab")</formula1>
    </dataValidation>
  </dataValidations>
  <pageMargins left="0.51181102362204722" right="0.70866141732283472" top="1.1811023622047245" bottom="0.78740157480314965" header="0.39370078740157483" footer="0.31496062992125984"/>
  <pageSetup paperSize="8" scale="52" orientation="landscape" r:id="rId1"/>
  <headerFooter>
    <oddHeader>&amp;L&amp;K2560A7Staatliche Fachoberschule und Berufsoberschule Traunstein&amp;R&amp;G</oddHeader>
    <oddFooter>&amp;C&amp;"Arial,Standard"&amp;14Für die Korrektheit sämtlicher Angaben, Berechnungen und Ergebnisse wird &amp;"Arial,Fett"keine&amp;"Arial,Standard" Gewähr übernommen!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ErrorMessage="1" prompt="Nur bei angestrebtem Abschluss: Allgemeine Hochschulreife" xr:uid="{00000000-0002-0000-0100-000003000000}">
          <x14:formula1>
            <xm:f>INDIRECT(Dropdownlisten!$B$2)</xm:f>
          </x14:formula1>
          <xm:sqref>B22:E22</xm:sqref>
        </x14:dataValidation>
        <x14:dataValidation type="list" allowBlank="1" showDropDown="1" showErrorMessage="1" errorTitle="FEHLER" error="Der eingegebene Punktwert entspricht nicht dem Punktesystem nach FOBOSO §19." xr:uid="{00000000-0002-0000-0100-000004000000}">
          <x14:formula1>
            <xm:f>Punkteliste!$A$1:$A$17</xm:f>
          </x14:formula1>
          <xm:sqref>D7:F17 G16:J17</xm:sqref>
        </x14:dataValidation>
        <x14:dataValidation type="list" allowBlank="1" showInputMessage="1" showErrorMessage="1" xr:uid="{00000000-0002-0000-0100-000005000000}">
          <x14:formula1>
            <xm:f>INDIRECT(WPF!$B$8)</xm:f>
          </x14:formula1>
          <xm:sqref>B16</xm:sqref>
        </x14:dataValidation>
        <x14:dataValidation type="list" allowBlank="1" showInputMessage="1" showErrorMessage="1" xr:uid="{00000000-0002-0000-0100-000006000000}">
          <x14:formula1>
            <xm:f>INDIRECT(WPF!$B$9)</xm:f>
          </x14:formula1>
          <xm:sqref>B17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32DC3-634B-4868-833A-69DEB3746A41}">
  <sheetPr codeName="Tabelle4"/>
  <dimension ref="B2:G393"/>
  <sheetViews>
    <sheetView showGridLines="0" topLeftCell="A19" workbookViewId="0">
      <selection activeCell="E7" sqref="E7"/>
    </sheetView>
  </sheetViews>
  <sheetFormatPr baseColWidth="10" defaultRowHeight="15" x14ac:dyDescent="0.25"/>
  <cols>
    <col min="1" max="1" width="11.42578125" style="69"/>
    <col min="2" max="3" width="11.42578125" style="139"/>
    <col min="4" max="4" width="11.42578125" style="69"/>
    <col min="5" max="5" width="14.42578125" style="139" customWidth="1"/>
    <col min="6" max="6" width="17.42578125" style="139" customWidth="1"/>
    <col min="7" max="7" width="17.140625" style="139" customWidth="1"/>
    <col min="8" max="16384" width="11.42578125" style="69"/>
  </cols>
  <sheetData>
    <row r="2" spans="2:7" x14ac:dyDescent="0.25">
      <c r="B2" s="139" t="s">
        <v>201</v>
      </c>
      <c r="C2" s="139" t="s">
        <v>202</v>
      </c>
      <c r="E2" s="140" t="s">
        <v>202</v>
      </c>
      <c r="F2" s="139" t="s">
        <v>203</v>
      </c>
      <c r="G2" s="139" t="s">
        <v>204</v>
      </c>
    </row>
    <row r="3" spans="2:7" x14ac:dyDescent="0.25">
      <c r="B3" s="139">
        <v>390</v>
      </c>
      <c r="C3" s="140">
        <f>IF((17/3)-(5*Punkteschnitt_390_tab[[#This Row],[Punkte]]/$B$3)&lt;1,1,TRUNC((17/3)-(5*Punkteschnitt_390_tab[[#This Row],[Punkte]]/$B$3),1))</f>
        <v>1</v>
      </c>
      <c r="E3" s="140">
        <v>1</v>
      </c>
      <c r="F3" s="139">
        <f>INDEX(Punkteschnitt_390_tab[],MATCH(Schnitt_von_bis_390_tab[[#This Row],[Schnitt]],Punkteschnitt_390_tab[Schnitt],0),1)</f>
        <v>390</v>
      </c>
      <c r="G3" s="139">
        <f t="shared" ref="G3:G49" si="0">IF(F4&gt;0,F4+1,0)</f>
        <v>357</v>
      </c>
    </row>
    <row r="4" spans="2:7" x14ac:dyDescent="0.25">
      <c r="B4" s="139">
        <v>389</v>
      </c>
      <c r="C4" s="140">
        <f>IF((17/3)-(5*Punkteschnitt_390_tab[[#This Row],[Punkte]]/$B$3)&lt;1,1,TRUNC((17/3)-(5*Punkteschnitt_390_tab[[#This Row],[Punkte]]/$B$3),1))</f>
        <v>1</v>
      </c>
      <c r="E4" s="140">
        <v>1.1000000000000001</v>
      </c>
      <c r="F4" s="139">
        <f>INDEX(Punkteschnitt_390_tab[],MATCH(Schnitt_von_bis_390_tab[[#This Row],[Schnitt]],Punkteschnitt_390_tab[Schnitt],0),1)</f>
        <v>356</v>
      </c>
      <c r="G4" s="139">
        <f t="shared" si="0"/>
        <v>349</v>
      </c>
    </row>
    <row r="5" spans="2:7" x14ac:dyDescent="0.25">
      <c r="B5" s="139">
        <v>388</v>
      </c>
      <c r="C5" s="140">
        <f>IF((17/3)-(5*Punkteschnitt_390_tab[[#This Row],[Punkte]]/$B$3)&lt;1,1,TRUNC((17/3)-(5*Punkteschnitt_390_tab[[#This Row],[Punkte]]/$B$3),1))</f>
        <v>1</v>
      </c>
      <c r="E5" s="140">
        <v>1.2</v>
      </c>
      <c r="F5" s="139">
        <f>INDEX(Punkteschnitt_390_tab[],MATCH(Schnitt_von_bis_390_tab[[#This Row],[Schnitt]],Punkteschnitt_390_tab[Schnitt],0),1)</f>
        <v>348</v>
      </c>
      <c r="G5" s="139">
        <f t="shared" si="0"/>
        <v>341</v>
      </c>
    </row>
    <row r="6" spans="2:7" x14ac:dyDescent="0.25">
      <c r="B6" s="139">
        <v>387</v>
      </c>
      <c r="C6" s="140">
        <f>IF((17/3)-(5*Punkteschnitt_390_tab[[#This Row],[Punkte]]/$B$3)&lt;1,1,TRUNC((17/3)-(5*Punkteschnitt_390_tab[[#This Row],[Punkte]]/$B$3),1))</f>
        <v>1</v>
      </c>
      <c r="E6" s="140">
        <v>1.3</v>
      </c>
      <c r="F6" s="139">
        <f>INDEX(Punkteschnitt_390_tab[],MATCH(Schnitt_von_bis_390_tab[[#This Row],[Schnitt]],Punkteschnitt_390_tab[Schnitt],0),1)</f>
        <v>340</v>
      </c>
      <c r="G6" s="139">
        <f t="shared" si="0"/>
        <v>333</v>
      </c>
    </row>
    <row r="7" spans="2:7" x14ac:dyDescent="0.25">
      <c r="B7" s="139">
        <v>386</v>
      </c>
      <c r="C7" s="140">
        <f>IF((17/3)-(5*Punkteschnitt_390_tab[[#This Row],[Punkte]]/$B$3)&lt;1,1,TRUNC((17/3)-(5*Punkteschnitt_390_tab[[#This Row],[Punkte]]/$B$3),1))</f>
        <v>1</v>
      </c>
      <c r="E7" s="140">
        <v>1.4</v>
      </c>
      <c r="F7" s="139">
        <f>INDEX(Punkteschnitt_390_tab[],MATCH(Schnitt_von_bis_390_tab[[#This Row],[Schnitt]],Punkteschnitt_390_tab[Schnitt],0),1)</f>
        <v>332</v>
      </c>
      <c r="G7" s="139">
        <f t="shared" si="0"/>
        <v>326</v>
      </c>
    </row>
    <row r="8" spans="2:7" x14ac:dyDescent="0.25">
      <c r="B8" s="139">
        <v>385</v>
      </c>
      <c r="C8" s="140">
        <f>IF((17/3)-(5*Punkteschnitt_390_tab[[#This Row],[Punkte]]/$B$3)&lt;1,1,TRUNC((17/3)-(5*Punkteschnitt_390_tab[[#This Row],[Punkte]]/$B$3),1))</f>
        <v>1</v>
      </c>
      <c r="E8" s="140">
        <v>1.5</v>
      </c>
      <c r="F8" s="139">
        <f>INDEX(Punkteschnitt_390_tab[],MATCH(Schnitt_von_bis_390_tab[[#This Row],[Schnitt]],Punkteschnitt_390_tab[Schnitt],0),1)</f>
        <v>325</v>
      </c>
      <c r="G8" s="139">
        <f t="shared" si="0"/>
        <v>318</v>
      </c>
    </row>
    <row r="9" spans="2:7" x14ac:dyDescent="0.25">
      <c r="B9" s="139">
        <v>384</v>
      </c>
      <c r="C9" s="140">
        <f>IF((17/3)-(5*Punkteschnitt_390_tab[[#This Row],[Punkte]]/$B$3)&lt;1,1,TRUNC((17/3)-(5*Punkteschnitt_390_tab[[#This Row],[Punkte]]/$B$3),1))</f>
        <v>1</v>
      </c>
      <c r="E9" s="140">
        <v>1.6</v>
      </c>
      <c r="F9" s="139">
        <f>INDEX(Punkteschnitt_390_tab[],MATCH(Schnitt_von_bis_390_tab[[#This Row],[Schnitt]],Punkteschnitt_390_tab[Schnitt],0),1)</f>
        <v>317</v>
      </c>
      <c r="G9" s="139">
        <f t="shared" si="0"/>
        <v>310</v>
      </c>
    </row>
    <row r="10" spans="2:7" x14ac:dyDescent="0.25">
      <c r="B10" s="139">
        <v>383</v>
      </c>
      <c r="C10" s="140">
        <f>IF((17/3)-(5*Punkteschnitt_390_tab[[#This Row],[Punkte]]/$B$3)&lt;1,1,TRUNC((17/3)-(5*Punkteschnitt_390_tab[[#This Row],[Punkte]]/$B$3),1))</f>
        <v>1</v>
      </c>
      <c r="E10" s="140">
        <v>1.7</v>
      </c>
      <c r="F10" s="139">
        <f>INDEX(Punkteschnitt_390_tab[],MATCH(Schnitt_von_bis_390_tab[[#This Row],[Schnitt]],Punkteschnitt_390_tab[Schnitt],0),1)</f>
        <v>309</v>
      </c>
      <c r="G10" s="139">
        <f t="shared" si="0"/>
        <v>302</v>
      </c>
    </row>
    <row r="11" spans="2:7" x14ac:dyDescent="0.25">
      <c r="B11" s="139">
        <v>382</v>
      </c>
      <c r="C11" s="140">
        <f>IF((17/3)-(5*Punkteschnitt_390_tab[[#This Row],[Punkte]]/$B$3)&lt;1,1,TRUNC((17/3)-(5*Punkteschnitt_390_tab[[#This Row],[Punkte]]/$B$3),1))</f>
        <v>1</v>
      </c>
      <c r="E11" s="140">
        <v>1.8</v>
      </c>
      <c r="F11" s="139">
        <f>INDEX(Punkteschnitt_390_tab[],MATCH(Schnitt_von_bis_390_tab[[#This Row],[Schnitt]],Punkteschnitt_390_tab[Schnitt],0),1)</f>
        <v>301</v>
      </c>
      <c r="G11" s="139">
        <f t="shared" si="0"/>
        <v>294</v>
      </c>
    </row>
    <row r="12" spans="2:7" x14ac:dyDescent="0.25">
      <c r="B12" s="139">
        <v>381</v>
      </c>
      <c r="C12" s="140">
        <f>IF((17/3)-(5*Punkteschnitt_390_tab[[#This Row],[Punkte]]/$B$3)&lt;1,1,TRUNC((17/3)-(5*Punkteschnitt_390_tab[[#This Row],[Punkte]]/$B$3),1))</f>
        <v>1</v>
      </c>
      <c r="E12" s="140">
        <v>1.9</v>
      </c>
      <c r="F12" s="139">
        <f>INDEX(Punkteschnitt_390_tab[],MATCH(Schnitt_von_bis_390_tab[[#This Row],[Schnitt]],Punkteschnitt_390_tab[Schnitt],0),1)</f>
        <v>293</v>
      </c>
      <c r="G12" s="139">
        <f t="shared" si="0"/>
        <v>287</v>
      </c>
    </row>
    <row r="13" spans="2:7" x14ac:dyDescent="0.25">
      <c r="B13" s="139">
        <v>380</v>
      </c>
      <c r="C13" s="140">
        <f>IF((17/3)-(5*Punkteschnitt_390_tab[[#This Row],[Punkte]]/$B$3)&lt;1,1,TRUNC((17/3)-(5*Punkteschnitt_390_tab[[#This Row],[Punkte]]/$B$3),1))</f>
        <v>1</v>
      </c>
      <c r="E13" s="140">
        <v>2</v>
      </c>
      <c r="F13" s="139">
        <f>INDEX(Punkteschnitt_390_tab[],MATCH(Schnitt_von_bis_390_tab[[#This Row],[Schnitt]],Punkteschnitt_390_tab[Schnitt],0),1)</f>
        <v>286</v>
      </c>
      <c r="G13" s="139">
        <f t="shared" si="0"/>
        <v>279</v>
      </c>
    </row>
    <row r="14" spans="2:7" x14ac:dyDescent="0.25">
      <c r="B14" s="139">
        <v>379</v>
      </c>
      <c r="C14" s="140">
        <f>IF((17/3)-(5*Punkteschnitt_390_tab[[#This Row],[Punkte]]/$B$3)&lt;1,1,TRUNC((17/3)-(5*Punkteschnitt_390_tab[[#This Row],[Punkte]]/$B$3),1))</f>
        <v>1</v>
      </c>
      <c r="E14" s="140">
        <v>2.1</v>
      </c>
      <c r="F14" s="139">
        <f>INDEX(Punkteschnitt_390_tab[],MATCH(Schnitt_von_bis_390_tab[[#This Row],[Schnitt]],Punkteschnitt_390_tab[Schnitt],0),1)</f>
        <v>278</v>
      </c>
      <c r="G14" s="139">
        <f t="shared" si="0"/>
        <v>271</v>
      </c>
    </row>
    <row r="15" spans="2:7" x14ac:dyDescent="0.25">
      <c r="B15" s="139">
        <v>378</v>
      </c>
      <c r="C15" s="140">
        <f>IF((17/3)-(5*Punkteschnitt_390_tab[[#This Row],[Punkte]]/$B$3)&lt;1,1,TRUNC((17/3)-(5*Punkteschnitt_390_tab[[#This Row],[Punkte]]/$B$3),1))</f>
        <v>1</v>
      </c>
      <c r="E15" s="140">
        <v>2.2000000000000002</v>
      </c>
      <c r="F15" s="139">
        <f>INDEX(Punkteschnitt_390_tab[],MATCH(Schnitt_von_bis_390_tab[[#This Row],[Schnitt]],Punkteschnitt_390_tab[Schnitt],0),1)</f>
        <v>270</v>
      </c>
      <c r="G15" s="139">
        <f t="shared" si="0"/>
        <v>263</v>
      </c>
    </row>
    <row r="16" spans="2:7" x14ac:dyDescent="0.25">
      <c r="B16" s="139">
        <v>377</v>
      </c>
      <c r="C16" s="140">
        <f>IF((17/3)-(5*Punkteschnitt_390_tab[[#This Row],[Punkte]]/$B$3)&lt;1,1,TRUNC((17/3)-(5*Punkteschnitt_390_tab[[#This Row],[Punkte]]/$B$3),1))</f>
        <v>1</v>
      </c>
      <c r="E16" s="140">
        <v>2.2999999999999998</v>
      </c>
      <c r="F16" s="139">
        <f>INDEX(Punkteschnitt_390_tab[],MATCH(Schnitt_von_bis_390_tab[[#This Row],[Schnitt]],Punkteschnitt_390_tab[Schnitt],0),1)</f>
        <v>262</v>
      </c>
      <c r="G16" s="139">
        <f t="shared" si="0"/>
        <v>255</v>
      </c>
    </row>
    <row r="17" spans="2:7" x14ac:dyDescent="0.25">
      <c r="B17" s="139">
        <v>376</v>
      </c>
      <c r="C17" s="140">
        <f>IF((17/3)-(5*Punkteschnitt_390_tab[[#This Row],[Punkte]]/$B$3)&lt;1,1,TRUNC((17/3)-(5*Punkteschnitt_390_tab[[#This Row],[Punkte]]/$B$3),1))</f>
        <v>1</v>
      </c>
      <c r="E17" s="140">
        <v>2.4</v>
      </c>
      <c r="F17" s="139">
        <f>INDEX(Punkteschnitt_390_tab[],MATCH(Schnitt_von_bis_390_tab[[#This Row],[Schnitt]],Punkteschnitt_390_tab[Schnitt],0),1)</f>
        <v>254</v>
      </c>
      <c r="G17" s="139">
        <f t="shared" si="0"/>
        <v>248</v>
      </c>
    </row>
    <row r="18" spans="2:7" x14ac:dyDescent="0.25">
      <c r="B18" s="139">
        <v>375</v>
      </c>
      <c r="C18" s="140">
        <f>IF((17/3)-(5*Punkteschnitt_390_tab[[#This Row],[Punkte]]/$B$3)&lt;1,1,TRUNC((17/3)-(5*Punkteschnitt_390_tab[[#This Row],[Punkte]]/$B$3),1))</f>
        <v>1</v>
      </c>
      <c r="E18" s="140">
        <v>2.5</v>
      </c>
      <c r="F18" s="139">
        <f>INDEX(Punkteschnitt_390_tab[],MATCH(Schnitt_von_bis_390_tab[[#This Row],[Schnitt]],Punkteschnitt_390_tab[Schnitt],0),1)</f>
        <v>247</v>
      </c>
      <c r="G18" s="139">
        <f t="shared" si="0"/>
        <v>240</v>
      </c>
    </row>
    <row r="19" spans="2:7" x14ac:dyDescent="0.25">
      <c r="B19" s="139">
        <v>374</v>
      </c>
      <c r="C19" s="140">
        <f>IF((17/3)-(5*Punkteschnitt_390_tab[[#This Row],[Punkte]]/$B$3)&lt;1,1,TRUNC((17/3)-(5*Punkteschnitt_390_tab[[#This Row],[Punkte]]/$B$3),1))</f>
        <v>1</v>
      </c>
      <c r="E19" s="140">
        <v>2.6</v>
      </c>
      <c r="F19" s="139">
        <f>INDEX(Punkteschnitt_390_tab[],MATCH(Schnitt_von_bis_390_tab[[#This Row],[Schnitt]],Punkteschnitt_390_tab[Schnitt],0),1)</f>
        <v>239</v>
      </c>
      <c r="G19" s="139">
        <f t="shared" si="0"/>
        <v>232</v>
      </c>
    </row>
    <row r="20" spans="2:7" x14ac:dyDescent="0.25">
      <c r="B20" s="139">
        <v>373</v>
      </c>
      <c r="C20" s="140">
        <f>IF((17/3)-(5*Punkteschnitt_390_tab[[#This Row],[Punkte]]/$B$3)&lt;1,1,TRUNC((17/3)-(5*Punkteschnitt_390_tab[[#This Row],[Punkte]]/$B$3),1))</f>
        <v>1</v>
      </c>
      <c r="E20" s="140">
        <v>2.7</v>
      </c>
      <c r="F20" s="139">
        <f>INDEX(Punkteschnitt_390_tab[],MATCH(Schnitt_von_bis_390_tab[[#This Row],[Schnitt]],Punkteschnitt_390_tab[Schnitt],0),1)</f>
        <v>231</v>
      </c>
      <c r="G20" s="139">
        <f t="shared" si="0"/>
        <v>224</v>
      </c>
    </row>
    <row r="21" spans="2:7" x14ac:dyDescent="0.25">
      <c r="B21" s="139">
        <v>372</v>
      </c>
      <c r="C21" s="140">
        <f>IF((17/3)-(5*Punkteschnitt_390_tab[[#This Row],[Punkte]]/$B$3)&lt;1,1,TRUNC((17/3)-(5*Punkteschnitt_390_tab[[#This Row],[Punkte]]/$B$3),1))</f>
        <v>1</v>
      </c>
      <c r="E21" s="140">
        <v>2.8</v>
      </c>
      <c r="F21" s="139">
        <f>INDEX(Punkteschnitt_390_tab[],MATCH(Schnitt_von_bis_390_tab[[#This Row],[Schnitt]],Punkteschnitt_390_tab[Schnitt],0),1)</f>
        <v>223</v>
      </c>
      <c r="G21" s="139">
        <f t="shared" si="0"/>
        <v>216</v>
      </c>
    </row>
    <row r="22" spans="2:7" x14ac:dyDescent="0.25">
      <c r="B22" s="139">
        <v>371</v>
      </c>
      <c r="C22" s="140">
        <f>IF((17/3)-(5*Punkteschnitt_390_tab[[#This Row],[Punkte]]/$B$3)&lt;1,1,TRUNC((17/3)-(5*Punkteschnitt_390_tab[[#This Row],[Punkte]]/$B$3),1))</f>
        <v>1</v>
      </c>
      <c r="E22" s="140">
        <v>2.9</v>
      </c>
      <c r="F22" s="139">
        <f>INDEX(Punkteschnitt_390_tab[],MATCH(Schnitt_von_bis_390_tab[[#This Row],[Schnitt]],Punkteschnitt_390_tab[Schnitt],0),1)</f>
        <v>215</v>
      </c>
      <c r="G22" s="139">
        <f t="shared" si="0"/>
        <v>209</v>
      </c>
    </row>
    <row r="23" spans="2:7" x14ac:dyDescent="0.25">
      <c r="B23" s="139">
        <v>370</v>
      </c>
      <c r="C23" s="140">
        <f>IF((17/3)-(5*Punkteschnitt_390_tab[[#This Row],[Punkte]]/$B$3)&lt;1,1,TRUNC((17/3)-(5*Punkteschnitt_390_tab[[#This Row],[Punkte]]/$B$3),1))</f>
        <v>1</v>
      </c>
      <c r="E23" s="140">
        <v>3</v>
      </c>
      <c r="F23" s="139">
        <f>INDEX(Punkteschnitt_390_tab[],MATCH(Schnitt_von_bis_390_tab[[#This Row],[Schnitt]],Punkteschnitt_390_tab[Schnitt],0),1)</f>
        <v>208</v>
      </c>
      <c r="G23" s="139">
        <f t="shared" si="0"/>
        <v>201</v>
      </c>
    </row>
    <row r="24" spans="2:7" x14ac:dyDescent="0.25">
      <c r="B24" s="139">
        <v>369</v>
      </c>
      <c r="C24" s="140">
        <f>IF((17/3)-(5*Punkteschnitt_390_tab[[#This Row],[Punkte]]/$B$3)&lt;1,1,TRUNC((17/3)-(5*Punkteschnitt_390_tab[[#This Row],[Punkte]]/$B$3),1))</f>
        <v>1</v>
      </c>
      <c r="E24" s="140">
        <v>3.1</v>
      </c>
      <c r="F24" s="139">
        <f>INDEX(Punkteschnitt_390_tab[],MATCH(Schnitt_von_bis_390_tab[[#This Row],[Schnitt]],Punkteschnitt_390_tab[Schnitt],0),1)</f>
        <v>200</v>
      </c>
      <c r="G24" s="139">
        <f t="shared" si="0"/>
        <v>193</v>
      </c>
    </row>
    <row r="25" spans="2:7" x14ac:dyDescent="0.25">
      <c r="B25" s="139">
        <v>368</v>
      </c>
      <c r="C25" s="140">
        <f>IF((17/3)-(5*Punkteschnitt_390_tab[[#This Row],[Punkte]]/$B$3)&lt;1,1,TRUNC((17/3)-(5*Punkteschnitt_390_tab[[#This Row],[Punkte]]/$B$3),1))</f>
        <v>1</v>
      </c>
      <c r="E25" s="140">
        <v>3.2</v>
      </c>
      <c r="F25" s="139">
        <f>INDEX(Punkteschnitt_390_tab[],MATCH(Schnitt_von_bis_390_tab[[#This Row],[Schnitt]],Punkteschnitt_390_tab[Schnitt],0),1)</f>
        <v>192</v>
      </c>
      <c r="G25" s="139">
        <f t="shared" si="0"/>
        <v>185</v>
      </c>
    </row>
    <row r="26" spans="2:7" x14ac:dyDescent="0.25">
      <c r="B26" s="139">
        <v>367</v>
      </c>
      <c r="C26" s="140">
        <f>IF((17/3)-(5*Punkteschnitt_390_tab[[#This Row],[Punkte]]/$B$3)&lt;1,1,TRUNC((17/3)-(5*Punkteschnitt_390_tab[[#This Row],[Punkte]]/$B$3),1))</f>
        <v>1</v>
      </c>
      <c r="E26" s="140">
        <v>3.3</v>
      </c>
      <c r="F26" s="139">
        <f>INDEX(Punkteschnitt_390_tab[],MATCH(Schnitt_von_bis_390_tab[[#This Row],[Schnitt]],Punkteschnitt_390_tab[Schnitt],0),1)</f>
        <v>184</v>
      </c>
      <c r="G26" s="139">
        <f t="shared" si="0"/>
        <v>177</v>
      </c>
    </row>
    <row r="27" spans="2:7" x14ac:dyDescent="0.25">
      <c r="B27" s="139">
        <v>366</v>
      </c>
      <c r="C27" s="140">
        <f>IF((17/3)-(5*Punkteschnitt_390_tab[[#This Row],[Punkte]]/$B$3)&lt;1,1,TRUNC((17/3)-(5*Punkteschnitt_390_tab[[#This Row],[Punkte]]/$B$3),1))</f>
        <v>1</v>
      </c>
      <c r="E27" s="140">
        <v>3.4</v>
      </c>
      <c r="F27" s="139">
        <f>INDEX(Punkteschnitt_390_tab[],MATCH(Schnitt_von_bis_390_tab[[#This Row],[Schnitt]],Punkteschnitt_390_tab[Schnitt],0),1)</f>
        <v>176</v>
      </c>
      <c r="G27" s="139">
        <f t="shared" si="0"/>
        <v>170</v>
      </c>
    </row>
    <row r="28" spans="2:7" x14ac:dyDescent="0.25">
      <c r="B28" s="139">
        <v>365</v>
      </c>
      <c r="C28" s="140">
        <f>IF((17/3)-(5*Punkteschnitt_390_tab[[#This Row],[Punkte]]/$B$3)&lt;1,1,TRUNC((17/3)-(5*Punkteschnitt_390_tab[[#This Row],[Punkte]]/$B$3),1))</f>
        <v>1</v>
      </c>
      <c r="E28" s="140">
        <v>3.5</v>
      </c>
      <c r="F28" s="139">
        <f>INDEX(Punkteschnitt_390_tab[],MATCH(Schnitt_von_bis_390_tab[[#This Row],[Schnitt]],Punkteschnitt_390_tab[Schnitt],0),1)</f>
        <v>169</v>
      </c>
      <c r="G28" s="139">
        <f t="shared" si="0"/>
        <v>162</v>
      </c>
    </row>
    <row r="29" spans="2:7" x14ac:dyDescent="0.25">
      <c r="B29" s="139">
        <v>364</v>
      </c>
      <c r="C29" s="140">
        <f>IF((17/3)-(5*Punkteschnitt_390_tab[[#This Row],[Punkte]]/$B$3)&lt;1,1,TRUNC((17/3)-(5*Punkteschnitt_390_tab[[#This Row],[Punkte]]/$B$3),1))</f>
        <v>1</v>
      </c>
      <c r="E29" s="140">
        <v>3.6</v>
      </c>
      <c r="F29" s="139">
        <f>INDEX(Punkteschnitt_390_tab[],MATCH(Schnitt_von_bis_390_tab[[#This Row],[Schnitt]],Punkteschnitt_390_tab[Schnitt],0),1)</f>
        <v>161</v>
      </c>
      <c r="G29" s="139">
        <f t="shared" si="0"/>
        <v>154</v>
      </c>
    </row>
    <row r="30" spans="2:7" x14ac:dyDescent="0.25">
      <c r="B30" s="139">
        <v>363</v>
      </c>
      <c r="C30" s="140">
        <f>IF((17/3)-(5*Punkteschnitt_390_tab[[#This Row],[Punkte]]/$B$3)&lt;1,1,TRUNC((17/3)-(5*Punkteschnitt_390_tab[[#This Row],[Punkte]]/$B$3),1))</f>
        <v>1</v>
      </c>
      <c r="E30" s="140">
        <v>3.7</v>
      </c>
      <c r="F30" s="139">
        <f>INDEX(Punkteschnitt_390_tab[],MATCH(Schnitt_von_bis_390_tab[[#This Row],[Schnitt]],Punkteschnitt_390_tab[Schnitt],0),1)</f>
        <v>153</v>
      </c>
      <c r="G30" s="139">
        <f t="shared" si="0"/>
        <v>146</v>
      </c>
    </row>
    <row r="31" spans="2:7" x14ac:dyDescent="0.25">
      <c r="B31" s="139">
        <v>362</v>
      </c>
      <c r="C31" s="140">
        <f>IF((17/3)-(5*Punkteschnitt_390_tab[[#This Row],[Punkte]]/$B$3)&lt;1,1,TRUNC((17/3)-(5*Punkteschnitt_390_tab[[#This Row],[Punkte]]/$B$3),1))</f>
        <v>1</v>
      </c>
      <c r="E31" s="140">
        <v>3.8</v>
      </c>
      <c r="F31" s="139">
        <f>INDEX(Punkteschnitt_390_tab[],MATCH(Schnitt_von_bis_390_tab[[#This Row],[Schnitt]],Punkteschnitt_390_tab[Schnitt],0),1)</f>
        <v>145</v>
      </c>
      <c r="G31" s="139">
        <f t="shared" si="0"/>
        <v>138</v>
      </c>
    </row>
    <row r="32" spans="2:7" x14ac:dyDescent="0.25">
      <c r="B32" s="139">
        <v>361</v>
      </c>
      <c r="C32" s="140">
        <f>IF((17/3)-(5*Punkteschnitt_390_tab[[#This Row],[Punkte]]/$B$3)&lt;1,1,TRUNC((17/3)-(5*Punkteschnitt_390_tab[[#This Row],[Punkte]]/$B$3),1))</f>
        <v>1</v>
      </c>
      <c r="E32" s="140">
        <v>3.9</v>
      </c>
      <c r="F32" s="139">
        <f>INDEX(Punkteschnitt_390_tab[],MATCH(Schnitt_von_bis_390_tab[[#This Row],[Schnitt]],Punkteschnitt_390_tab[Schnitt],0),1)</f>
        <v>137</v>
      </c>
      <c r="G32" s="139">
        <f t="shared" si="0"/>
        <v>131</v>
      </c>
    </row>
    <row r="33" spans="2:7" x14ac:dyDescent="0.25">
      <c r="B33" s="139">
        <v>360</v>
      </c>
      <c r="C33" s="140">
        <f>IF((17/3)-(5*Punkteschnitt_390_tab[[#This Row],[Punkte]]/$B$3)&lt;1,1,TRUNC((17/3)-(5*Punkteschnitt_390_tab[[#This Row],[Punkte]]/$B$3),1))</f>
        <v>1</v>
      </c>
      <c r="E33" s="140">
        <v>4</v>
      </c>
      <c r="F33" s="139">
        <f>INDEX(Punkteschnitt_390_tab[],MATCH(Schnitt_von_bis_390_tab[[#This Row],[Schnitt]],Punkteschnitt_390_tab[Schnitt],0),1)</f>
        <v>130</v>
      </c>
      <c r="G33" s="139">
        <f t="shared" si="0"/>
        <v>123</v>
      </c>
    </row>
    <row r="34" spans="2:7" x14ac:dyDescent="0.25">
      <c r="B34" s="139">
        <v>359</v>
      </c>
      <c r="C34" s="140">
        <f>IF((17/3)-(5*Punkteschnitt_390_tab[[#This Row],[Punkte]]/$B$3)&lt;1,1,TRUNC((17/3)-(5*Punkteschnitt_390_tab[[#This Row],[Punkte]]/$B$3),1))</f>
        <v>1</v>
      </c>
      <c r="E34" s="140">
        <v>4.0999999999999996</v>
      </c>
      <c r="F34" s="139">
        <f>INDEX(Punkteschnitt_390_tab[],MATCH(Schnitt_von_bis_390_tab[[#This Row],[Schnitt]],Punkteschnitt_390_tab[Schnitt],0),1)</f>
        <v>122</v>
      </c>
      <c r="G34" s="139">
        <f t="shared" si="0"/>
        <v>115</v>
      </c>
    </row>
    <row r="35" spans="2:7" x14ac:dyDescent="0.25">
      <c r="B35" s="139">
        <v>358</v>
      </c>
      <c r="C35" s="140">
        <f>IF((17/3)-(5*Punkteschnitt_390_tab[[#This Row],[Punkte]]/$B$3)&lt;1,1,TRUNC((17/3)-(5*Punkteschnitt_390_tab[[#This Row],[Punkte]]/$B$3),1))</f>
        <v>1</v>
      </c>
      <c r="E35" s="140">
        <v>4.2</v>
      </c>
      <c r="F35" s="139">
        <f>INDEX(Punkteschnitt_390_tab[],MATCH(Schnitt_von_bis_390_tab[[#This Row],[Schnitt]],Punkteschnitt_390_tab[Schnitt],0),1)</f>
        <v>114</v>
      </c>
      <c r="G35" s="139">
        <f t="shared" si="0"/>
        <v>107</v>
      </c>
    </row>
    <row r="36" spans="2:7" x14ac:dyDescent="0.25">
      <c r="B36" s="139">
        <v>357</v>
      </c>
      <c r="C36" s="140">
        <f>IF((17/3)-(5*Punkteschnitt_390_tab[[#This Row],[Punkte]]/$B$3)&lt;1,1,TRUNC((17/3)-(5*Punkteschnitt_390_tab[[#This Row],[Punkte]]/$B$3),1))</f>
        <v>1</v>
      </c>
      <c r="E36" s="140">
        <v>4.3</v>
      </c>
      <c r="F36" s="139">
        <f>INDEX(Punkteschnitt_390_tab[],MATCH(Schnitt_von_bis_390_tab[[#This Row],[Schnitt]],Punkteschnitt_390_tab[Schnitt],0),1)</f>
        <v>106</v>
      </c>
      <c r="G36" s="139">
        <f t="shared" si="0"/>
        <v>99</v>
      </c>
    </row>
    <row r="37" spans="2:7" x14ac:dyDescent="0.25">
      <c r="B37" s="139">
        <v>356</v>
      </c>
      <c r="C37" s="140">
        <f>IF((17/3)-(5*Punkteschnitt_390_tab[[#This Row],[Punkte]]/$B$3)&lt;1,1,TRUNC((17/3)-(5*Punkteschnitt_390_tab[[#This Row],[Punkte]]/$B$3),1))</f>
        <v>1.1000000000000001</v>
      </c>
      <c r="E37" s="140">
        <v>4.4000000000000004</v>
      </c>
      <c r="F37" s="139">
        <f>INDEX(Punkteschnitt_390_tab[],MATCH(Schnitt_von_bis_390_tab[[#This Row],[Schnitt]],Punkteschnitt_390_tab[Schnitt],0),1)</f>
        <v>98</v>
      </c>
      <c r="G37" s="139">
        <f t="shared" si="0"/>
        <v>92</v>
      </c>
    </row>
    <row r="38" spans="2:7" x14ac:dyDescent="0.25">
      <c r="B38" s="139">
        <v>355</v>
      </c>
      <c r="C38" s="140">
        <f>IF((17/3)-(5*Punkteschnitt_390_tab[[#This Row],[Punkte]]/$B$3)&lt;1,1,TRUNC((17/3)-(5*Punkteschnitt_390_tab[[#This Row],[Punkte]]/$B$3),1))</f>
        <v>1.1000000000000001</v>
      </c>
      <c r="E38" s="140">
        <v>4.5</v>
      </c>
      <c r="F38" s="139">
        <f>INDEX(Punkteschnitt_390_tab[],MATCH(Schnitt_von_bis_390_tab[[#This Row],[Schnitt]],Punkteschnitt_390_tab[Schnitt],0),1)</f>
        <v>91</v>
      </c>
      <c r="G38" s="139">
        <f t="shared" si="0"/>
        <v>84</v>
      </c>
    </row>
    <row r="39" spans="2:7" x14ac:dyDescent="0.25">
      <c r="B39" s="139">
        <v>354</v>
      </c>
      <c r="C39" s="140">
        <f>IF((17/3)-(5*Punkteschnitt_390_tab[[#This Row],[Punkte]]/$B$3)&lt;1,1,TRUNC((17/3)-(5*Punkteschnitt_390_tab[[#This Row],[Punkte]]/$B$3),1))</f>
        <v>1.1000000000000001</v>
      </c>
      <c r="E39" s="140">
        <v>4.5999999999999996</v>
      </c>
      <c r="F39" s="139">
        <f>INDEX(Punkteschnitt_390_tab[],MATCH(Schnitt_von_bis_390_tab[[#This Row],[Schnitt]],Punkteschnitt_390_tab[Schnitt],0),1)</f>
        <v>83</v>
      </c>
      <c r="G39" s="139">
        <f t="shared" si="0"/>
        <v>76</v>
      </c>
    </row>
    <row r="40" spans="2:7" x14ac:dyDescent="0.25">
      <c r="B40" s="139">
        <v>353</v>
      </c>
      <c r="C40" s="140">
        <f>IF((17/3)-(5*Punkteschnitt_390_tab[[#This Row],[Punkte]]/$B$3)&lt;1,1,TRUNC((17/3)-(5*Punkteschnitt_390_tab[[#This Row],[Punkte]]/$B$3),1))</f>
        <v>1.1000000000000001</v>
      </c>
      <c r="E40" s="140">
        <v>4.7</v>
      </c>
      <c r="F40" s="139">
        <f>INDEX(Punkteschnitt_390_tab[],MATCH(Schnitt_von_bis_390_tab[[#This Row],[Schnitt]],Punkteschnitt_390_tab[Schnitt],0),1)</f>
        <v>75</v>
      </c>
      <c r="G40" s="139">
        <f t="shared" si="0"/>
        <v>68</v>
      </c>
    </row>
    <row r="41" spans="2:7" x14ac:dyDescent="0.25">
      <c r="B41" s="139">
        <v>352</v>
      </c>
      <c r="C41" s="140">
        <f>IF((17/3)-(5*Punkteschnitt_390_tab[[#This Row],[Punkte]]/$B$3)&lt;1,1,TRUNC((17/3)-(5*Punkteschnitt_390_tab[[#This Row],[Punkte]]/$B$3),1))</f>
        <v>1.1000000000000001</v>
      </c>
      <c r="E41" s="140">
        <v>4.8</v>
      </c>
      <c r="F41" s="139">
        <f>INDEX(Punkteschnitt_390_tab[],MATCH(Schnitt_von_bis_390_tab[[#This Row],[Schnitt]],Punkteschnitt_390_tab[Schnitt],0),1)</f>
        <v>67</v>
      </c>
      <c r="G41" s="139">
        <f t="shared" si="0"/>
        <v>60</v>
      </c>
    </row>
    <row r="42" spans="2:7" x14ac:dyDescent="0.25">
      <c r="B42" s="139">
        <v>351</v>
      </c>
      <c r="C42" s="140">
        <f>IF((17/3)-(5*Punkteschnitt_390_tab[[#This Row],[Punkte]]/$B$3)&lt;1,1,TRUNC((17/3)-(5*Punkteschnitt_390_tab[[#This Row],[Punkte]]/$B$3),1))</f>
        <v>1.1000000000000001</v>
      </c>
      <c r="E42" s="140">
        <v>4.9000000000000004</v>
      </c>
      <c r="F42" s="139">
        <f>INDEX(Punkteschnitt_390_tab[],MATCH(Schnitt_von_bis_390_tab[[#This Row],[Schnitt]],Punkteschnitt_390_tab[Schnitt],0),1)</f>
        <v>59</v>
      </c>
      <c r="G42" s="139">
        <f t="shared" si="0"/>
        <v>53</v>
      </c>
    </row>
    <row r="43" spans="2:7" x14ac:dyDescent="0.25">
      <c r="B43" s="139">
        <v>350</v>
      </c>
      <c r="C43" s="140">
        <f>IF((17/3)-(5*Punkteschnitt_390_tab[[#This Row],[Punkte]]/$B$3)&lt;1,1,TRUNC((17/3)-(5*Punkteschnitt_390_tab[[#This Row],[Punkte]]/$B$3),1))</f>
        <v>1.1000000000000001</v>
      </c>
      <c r="E43" s="140">
        <v>5</v>
      </c>
      <c r="F43" s="139">
        <f>INDEX(Punkteschnitt_390_tab[],MATCH(Schnitt_von_bis_390_tab[[#This Row],[Schnitt]],Punkteschnitt_390_tab[Schnitt],0),1)</f>
        <v>52</v>
      </c>
      <c r="G43" s="139">
        <f t="shared" si="0"/>
        <v>45</v>
      </c>
    </row>
    <row r="44" spans="2:7" x14ac:dyDescent="0.25">
      <c r="B44" s="139">
        <v>349</v>
      </c>
      <c r="C44" s="140">
        <f>IF((17/3)-(5*Punkteschnitt_390_tab[[#This Row],[Punkte]]/$B$3)&lt;1,1,TRUNC((17/3)-(5*Punkteschnitt_390_tab[[#This Row],[Punkte]]/$B$3),1))</f>
        <v>1.1000000000000001</v>
      </c>
      <c r="E44" s="140">
        <v>5.0999999999999996</v>
      </c>
      <c r="F44" s="139">
        <f>INDEX(Punkteschnitt_390_tab[],MATCH(Schnitt_von_bis_390_tab[[#This Row],[Schnitt]],Punkteschnitt_390_tab[Schnitt],0),1)</f>
        <v>44</v>
      </c>
      <c r="G44" s="139">
        <f t="shared" si="0"/>
        <v>37</v>
      </c>
    </row>
    <row r="45" spans="2:7" x14ac:dyDescent="0.25">
      <c r="B45" s="139">
        <v>348</v>
      </c>
      <c r="C45" s="140">
        <f>IF((17/3)-(5*Punkteschnitt_390_tab[[#This Row],[Punkte]]/$B$3)&lt;1,1,TRUNC((17/3)-(5*Punkteschnitt_390_tab[[#This Row],[Punkte]]/$B$3),1))</f>
        <v>1.2</v>
      </c>
      <c r="E45" s="140">
        <v>5.2</v>
      </c>
      <c r="F45" s="139">
        <f>INDEX(Punkteschnitt_390_tab[],MATCH(Schnitt_von_bis_390_tab[[#This Row],[Schnitt]],Punkteschnitt_390_tab[Schnitt],0),1)</f>
        <v>36</v>
      </c>
      <c r="G45" s="139">
        <f t="shared" si="0"/>
        <v>29</v>
      </c>
    </row>
    <row r="46" spans="2:7" x14ac:dyDescent="0.25">
      <c r="B46" s="139">
        <v>347</v>
      </c>
      <c r="C46" s="140">
        <f>IF((17/3)-(5*Punkteschnitt_390_tab[[#This Row],[Punkte]]/$B$3)&lt;1,1,TRUNC((17/3)-(5*Punkteschnitt_390_tab[[#This Row],[Punkte]]/$B$3),1))</f>
        <v>1.2</v>
      </c>
      <c r="E46" s="140">
        <v>5.3</v>
      </c>
      <c r="F46" s="139">
        <f>INDEX(Punkteschnitt_390_tab[],MATCH(Schnitt_von_bis_390_tab[[#This Row],[Schnitt]],Punkteschnitt_390_tab[Schnitt],0),1)</f>
        <v>28</v>
      </c>
      <c r="G46" s="139">
        <f t="shared" si="0"/>
        <v>21</v>
      </c>
    </row>
    <row r="47" spans="2:7" x14ac:dyDescent="0.25">
      <c r="B47" s="139">
        <v>346</v>
      </c>
      <c r="C47" s="140">
        <f>IF((17/3)-(5*Punkteschnitt_390_tab[[#This Row],[Punkte]]/$B$3)&lt;1,1,TRUNC((17/3)-(5*Punkteschnitt_390_tab[[#This Row],[Punkte]]/$B$3),1))</f>
        <v>1.2</v>
      </c>
      <c r="E47" s="140">
        <v>5.4</v>
      </c>
      <c r="F47" s="139">
        <f>INDEX(Punkteschnitt_390_tab[],MATCH(Schnitt_von_bis_390_tab[[#This Row],[Schnitt]],Punkteschnitt_390_tab[Schnitt],0),1)</f>
        <v>20</v>
      </c>
      <c r="G47" s="139">
        <f t="shared" si="0"/>
        <v>14</v>
      </c>
    </row>
    <row r="48" spans="2:7" x14ac:dyDescent="0.25">
      <c r="B48" s="139">
        <v>345</v>
      </c>
      <c r="C48" s="140">
        <f>IF((17/3)-(5*Punkteschnitt_390_tab[[#This Row],[Punkte]]/$B$3)&lt;1,1,TRUNC((17/3)-(5*Punkteschnitt_390_tab[[#This Row],[Punkte]]/$B$3),1))</f>
        <v>1.2</v>
      </c>
      <c r="E48" s="140">
        <v>5.5</v>
      </c>
      <c r="F48" s="139">
        <f>INDEX(Punkteschnitt_390_tab[],MATCH(Schnitt_von_bis_390_tab[[#This Row],[Schnitt]],Punkteschnitt_390_tab[Schnitt],0),1)</f>
        <v>13</v>
      </c>
      <c r="G48" s="139">
        <f t="shared" si="0"/>
        <v>6</v>
      </c>
    </row>
    <row r="49" spans="2:7" x14ac:dyDescent="0.25">
      <c r="B49" s="139">
        <v>344</v>
      </c>
      <c r="C49" s="140">
        <f>IF((17/3)-(5*Punkteschnitt_390_tab[[#This Row],[Punkte]]/$B$3)&lt;1,1,TRUNC((17/3)-(5*Punkteschnitt_390_tab[[#This Row],[Punkte]]/$B$3),1))</f>
        <v>1.2</v>
      </c>
      <c r="E49" s="140">
        <v>5.6</v>
      </c>
      <c r="F49" s="139">
        <f>INDEX(Punkteschnitt_390_tab[],MATCH(Schnitt_von_bis_390_tab[[#This Row],[Schnitt]],Punkteschnitt_390_tab[Schnitt],0),1)</f>
        <v>5</v>
      </c>
      <c r="G49" s="139">
        <f t="shared" si="0"/>
        <v>0</v>
      </c>
    </row>
    <row r="50" spans="2:7" x14ac:dyDescent="0.25">
      <c r="B50" s="139">
        <v>343</v>
      </c>
      <c r="C50" s="140">
        <f>IF((17/3)-(5*Punkteschnitt_390_tab[[#This Row],[Punkte]]/$B$3)&lt;1,1,TRUNC((17/3)-(5*Punkteschnitt_390_tab[[#This Row],[Punkte]]/$B$3),1))</f>
        <v>1.2</v>
      </c>
      <c r="E50" s="140"/>
    </row>
    <row r="51" spans="2:7" x14ac:dyDescent="0.25">
      <c r="B51" s="139">
        <v>342</v>
      </c>
      <c r="C51" s="140">
        <f>IF((17/3)-(5*Punkteschnitt_390_tab[[#This Row],[Punkte]]/$B$3)&lt;1,1,TRUNC((17/3)-(5*Punkteschnitt_390_tab[[#This Row],[Punkte]]/$B$3),1))</f>
        <v>1.2</v>
      </c>
      <c r="E51" s="140"/>
    </row>
    <row r="52" spans="2:7" x14ac:dyDescent="0.25">
      <c r="B52" s="139">
        <v>341</v>
      </c>
      <c r="C52" s="140">
        <f>IF((17/3)-(5*Punkteschnitt_390_tab[[#This Row],[Punkte]]/$B$3)&lt;1,1,TRUNC((17/3)-(5*Punkteschnitt_390_tab[[#This Row],[Punkte]]/$B$3),1))</f>
        <v>1.2</v>
      </c>
      <c r="E52" s="140"/>
    </row>
    <row r="53" spans="2:7" x14ac:dyDescent="0.25">
      <c r="B53" s="139">
        <v>340</v>
      </c>
      <c r="C53" s="140">
        <f>IF((17/3)-(5*Punkteschnitt_390_tab[[#This Row],[Punkte]]/$B$3)&lt;1,1,TRUNC((17/3)-(5*Punkteschnitt_390_tab[[#This Row],[Punkte]]/$B$3),1))</f>
        <v>1.3</v>
      </c>
    </row>
    <row r="54" spans="2:7" x14ac:dyDescent="0.25">
      <c r="B54" s="139">
        <v>339</v>
      </c>
      <c r="C54" s="140">
        <f>IF((17/3)-(5*Punkteschnitt_390_tab[[#This Row],[Punkte]]/$B$3)&lt;1,1,TRUNC((17/3)-(5*Punkteschnitt_390_tab[[#This Row],[Punkte]]/$B$3),1))</f>
        <v>1.3</v>
      </c>
    </row>
    <row r="55" spans="2:7" x14ac:dyDescent="0.25">
      <c r="B55" s="139">
        <v>338</v>
      </c>
      <c r="C55" s="140">
        <f>IF((17/3)-(5*Punkteschnitt_390_tab[[#This Row],[Punkte]]/$B$3)&lt;1,1,TRUNC((17/3)-(5*Punkteschnitt_390_tab[[#This Row],[Punkte]]/$B$3),1))</f>
        <v>1.3</v>
      </c>
    </row>
    <row r="56" spans="2:7" x14ac:dyDescent="0.25">
      <c r="B56" s="139">
        <v>337</v>
      </c>
      <c r="C56" s="140">
        <f>IF((17/3)-(5*Punkteschnitt_390_tab[[#This Row],[Punkte]]/$B$3)&lt;1,1,TRUNC((17/3)-(5*Punkteschnitt_390_tab[[#This Row],[Punkte]]/$B$3),1))</f>
        <v>1.3</v>
      </c>
    </row>
    <row r="57" spans="2:7" x14ac:dyDescent="0.25">
      <c r="B57" s="139">
        <v>336</v>
      </c>
      <c r="C57" s="140">
        <f>IF((17/3)-(5*Punkteschnitt_390_tab[[#This Row],[Punkte]]/$B$3)&lt;1,1,TRUNC((17/3)-(5*Punkteschnitt_390_tab[[#This Row],[Punkte]]/$B$3),1))</f>
        <v>1.3</v>
      </c>
    </row>
    <row r="58" spans="2:7" x14ac:dyDescent="0.25">
      <c r="B58" s="139">
        <v>335</v>
      </c>
      <c r="C58" s="140">
        <f>IF((17/3)-(5*Punkteschnitt_390_tab[[#This Row],[Punkte]]/$B$3)&lt;1,1,TRUNC((17/3)-(5*Punkteschnitt_390_tab[[#This Row],[Punkte]]/$B$3),1))</f>
        <v>1.3</v>
      </c>
    </row>
    <row r="59" spans="2:7" x14ac:dyDescent="0.25">
      <c r="B59" s="139">
        <v>334</v>
      </c>
      <c r="C59" s="140">
        <f>IF((17/3)-(5*Punkteschnitt_390_tab[[#This Row],[Punkte]]/$B$3)&lt;1,1,TRUNC((17/3)-(5*Punkteschnitt_390_tab[[#This Row],[Punkte]]/$B$3),1))</f>
        <v>1.3</v>
      </c>
    </row>
    <row r="60" spans="2:7" x14ac:dyDescent="0.25">
      <c r="B60" s="139">
        <v>333</v>
      </c>
      <c r="C60" s="140">
        <f>IF((17/3)-(5*Punkteschnitt_390_tab[[#This Row],[Punkte]]/$B$3)&lt;1,1,TRUNC((17/3)-(5*Punkteschnitt_390_tab[[#This Row],[Punkte]]/$B$3),1))</f>
        <v>1.3</v>
      </c>
    </row>
    <row r="61" spans="2:7" x14ac:dyDescent="0.25">
      <c r="B61" s="139">
        <v>332</v>
      </c>
      <c r="C61" s="140">
        <f>IF((17/3)-(5*Punkteschnitt_390_tab[[#This Row],[Punkte]]/$B$3)&lt;1,1,TRUNC((17/3)-(5*Punkteschnitt_390_tab[[#This Row],[Punkte]]/$B$3),1))</f>
        <v>1.4</v>
      </c>
    </row>
    <row r="62" spans="2:7" x14ac:dyDescent="0.25">
      <c r="B62" s="139">
        <v>331</v>
      </c>
      <c r="C62" s="140">
        <f>IF((17/3)-(5*Punkteschnitt_390_tab[[#This Row],[Punkte]]/$B$3)&lt;1,1,TRUNC((17/3)-(5*Punkteschnitt_390_tab[[#This Row],[Punkte]]/$B$3),1))</f>
        <v>1.4</v>
      </c>
    </row>
    <row r="63" spans="2:7" x14ac:dyDescent="0.25">
      <c r="B63" s="139">
        <v>330</v>
      </c>
      <c r="C63" s="140">
        <f>IF((17/3)-(5*Punkteschnitt_390_tab[[#This Row],[Punkte]]/$B$3)&lt;1,1,TRUNC((17/3)-(5*Punkteschnitt_390_tab[[#This Row],[Punkte]]/$B$3),1))</f>
        <v>1.4</v>
      </c>
    </row>
    <row r="64" spans="2:7" x14ac:dyDescent="0.25">
      <c r="B64" s="139">
        <v>329</v>
      </c>
      <c r="C64" s="140">
        <f>IF((17/3)-(5*Punkteschnitt_390_tab[[#This Row],[Punkte]]/$B$3)&lt;1,1,TRUNC((17/3)-(5*Punkteschnitt_390_tab[[#This Row],[Punkte]]/$B$3),1))</f>
        <v>1.4</v>
      </c>
    </row>
    <row r="65" spans="2:3" x14ac:dyDescent="0.25">
      <c r="B65" s="139">
        <v>328</v>
      </c>
      <c r="C65" s="140">
        <f>IF((17/3)-(5*Punkteschnitt_390_tab[[#This Row],[Punkte]]/$B$3)&lt;1,1,TRUNC((17/3)-(5*Punkteschnitt_390_tab[[#This Row],[Punkte]]/$B$3),1))</f>
        <v>1.4</v>
      </c>
    </row>
    <row r="66" spans="2:3" x14ac:dyDescent="0.25">
      <c r="B66" s="139">
        <v>327</v>
      </c>
      <c r="C66" s="140">
        <f>IF((17/3)-(5*Punkteschnitt_390_tab[[#This Row],[Punkte]]/$B$3)&lt;1,1,TRUNC((17/3)-(5*Punkteschnitt_390_tab[[#This Row],[Punkte]]/$B$3),1))</f>
        <v>1.4</v>
      </c>
    </row>
    <row r="67" spans="2:3" x14ac:dyDescent="0.25">
      <c r="B67" s="139">
        <v>326</v>
      </c>
      <c r="C67" s="140">
        <f>IF((17/3)-(5*Punkteschnitt_390_tab[[#This Row],[Punkte]]/$B$3)&lt;1,1,TRUNC((17/3)-(5*Punkteschnitt_390_tab[[#This Row],[Punkte]]/$B$3),1))</f>
        <v>1.4</v>
      </c>
    </row>
    <row r="68" spans="2:3" x14ac:dyDescent="0.25">
      <c r="B68" s="139">
        <v>325</v>
      </c>
      <c r="C68" s="140">
        <f>IF((17/3)-(5*Punkteschnitt_390_tab[[#This Row],[Punkte]]/$B$3)&lt;1,1,TRUNC((17/3)-(5*Punkteschnitt_390_tab[[#This Row],[Punkte]]/$B$3),1))</f>
        <v>1.5</v>
      </c>
    </row>
    <row r="69" spans="2:3" x14ac:dyDescent="0.25">
      <c r="B69" s="139">
        <v>324</v>
      </c>
      <c r="C69" s="140">
        <f>IF((17/3)-(5*Punkteschnitt_390_tab[[#This Row],[Punkte]]/$B$3)&lt;1,1,TRUNC((17/3)-(5*Punkteschnitt_390_tab[[#This Row],[Punkte]]/$B$3),1))</f>
        <v>1.5</v>
      </c>
    </row>
    <row r="70" spans="2:3" x14ac:dyDescent="0.25">
      <c r="B70" s="139">
        <v>323</v>
      </c>
      <c r="C70" s="140">
        <f>IF((17/3)-(5*Punkteschnitt_390_tab[[#This Row],[Punkte]]/$B$3)&lt;1,1,TRUNC((17/3)-(5*Punkteschnitt_390_tab[[#This Row],[Punkte]]/$B$3),1))</f>
        <v>1.5</v>
      </c>
    </row>
    <row r="71" spans="2:3" x14ac:dyDescent="0.25">
      <c r="B71" s="139">
        <v>322</v>
      </c>
      <c r="C71" s="140">
        <f>IF((17/3)-(5*Punkteschnitt_390_tab[[#This Row],[Punkte]]/$B$3)&lt;1,1,TRUNC((17/3)-(5*Punkteschnitt_390_tab[[#This Row],[Punkte]]/$B$3),1))</f>
        <v>1.5</v>
      </c>
    </row>
    <row r="72" spans="2:3" x14ac:dyDescent="0.25">
      <c r="B72" s="139">
        <v>321</v>
      </c>
      <c r="C72" s="140">
        <f>IF((17/3)-(5*Punkteschnitt_390_tab[[#This Row],[Punkte]]/$B$3)&lt;1,1,TRUNC((17/3)-(5*Punkteschnitt_390_tab[[#This Row],[Punkte]]/$B$3),1))</f>
        <v>1.5</v>
      </c>
    </row>
    <row r="73" spans="2:3" x14ac:dyDescent="0.25">
      <c r="B73" s="139">
        <v>320</v>
      </c>
      <c r="C73" s="140">
        <f>IF((17/3)-(5*Punkteschnitt_390_tab[[#This Row],[Punkte]]/$B$3)&lt;1,1,TRUNC((17/3)-(5*Punkteschnitt_390_tab[[#This Row],[Punkte]]/$B$3),1))</f>
        <v>1.5</v>
      </c>
    </row>
    <row r="74" spans="2:3" x14ac:dyDescent="0.25">
      <c r="B74" s="139">
        <v>319</v>
      </c>
      <c r="C74" s="140">
        <f>IF((17/3)-(5*Punkteschnitt_390_tab[[#This Row],[Punkte]]/$B$3)&lt;1,1,TRUNC((17/3)-(5*Punkteschnitt_390_tab[[#This Row],[Punkte]]/$B$3),1))</f>
        <v>1.5</v>
      </c>
    </row>
    <row r="75" spans="2:3" x14ac:dyDescent="0.25">
      <c r="B75" s="139">
        <v>318</v>
      </c>
      <c r="C75" s="140">
        <f>IF((17/3)-(5*Punkteschnitt_390_tab[[#This Row],[Punkte]]/$B$3)&lt;1,1,TRUNC((17/3)-(5*Punkteschnitt_390_tab[[#This Row],[Punkte]]/$B$3),1))</f>
        <v>1.5</v>
      </c>
    </row>
    <row r="76" spans="2:3" x14ac:dyDescent="0.25">
      <c r="B76" s="139">
        <v>317</v>
      </c>
      <c r="C76" s="140">
        <f>IF((17/3)-(5*Punkteschnitt_390_tab[[#This Row],[Punkte]]/$B$3)&lt;1,1,TRUNC((17/3)-(5*Punkteschnitt_390_tab[[#This Row],[Punkte]]/$B$3),1))</f>
        <v>1.6</v>
      </c>
    </row>
    <row r="77" spans="2:3" x14ac:dyDescent="0.25">
      <c r="B77" s="139">
        <v>316</v>
      </c>
      <c r="C77" s="140">
        <f>IF((17/3)-(5*Punkteschnitt_390_tab[[#This Row],[Punkte]]/$B$3)&lt;1,1,TRUNC((17/3)-(5*Punkteschnitt_390_tab[[#This Row],[Punkte]]/$B$3),1))</f>
        <v>1.6</v>
      </c>
    </row>
    <row r="78" spans="2:3" x14ac:dyDescent="0.25">
      <c r="B78" s="139">
        <v>315</v>
      </c>
      <c r="C78" s="140">
        <f>IF((17/3)-(5*Punkteschnitt_390_tab[[#This Row],[Punkte]]/$B$3)&lt;1,1,TRUNC((17/3)-(5*Punkteschnitt_390_tab[[#This Row],[Punkte]]/$B$3),1))</f>
        <v>1.6</v>
      </c>
    </row>
    <row r="79" spans="2:3" x14ac:dyDescent="0.25">
      <c r="B79" s="139">
        <v>314</v>
      </c>
      <c r="C79" s="140">
        <f>IF((17/3)-(5*Punkteschnitt_390_tab[[#This Row],[Punkte]]/$B$3)&lt;1,1,TRUNC((17/3)-(5*Punkteschnitt_390_tab[[#This Row],[Punkte]]/$B$3),1))</f>
        <v>1.6</v>
      </c>
    </row>
    <row r="80" spans="2:3" x14ac:dyDescent="0.25">
      <c r="B80" s="139">
        <v>313</v>
      </c>
      <c r="C80" s="140">
        <f>IF((17/3)-(5*Punkteschnitt_390_tab[[#This Row],[Punkte]]/$B$3)&lt;1,1,TRUNC((17/3)-(5*Punkteschnitt_390_tab[[#This Row],[Punkte]]/$B$3),1))</f>
        <v>1.6</v>
      </c>
    </row>
    <row r="81" spans="2:3" x14ac:dyDescent="0.25">
      <c r="B81" s="139">
        <v>312</v>
      </c>
      <c r="C81" s="140">
        <f>IF((17/3)-(5*Punkteschnitt_390_tab[[#This Row],[Punkte]]/$B$3)&lt;1,1,TRUNC((17/3)-(5*Punkteschnitt_390_tab[[#This Row],[Punkte]]/$B$3),1))</f>
        <v>1.6</v>
      </c>
    </row>
    <row r="82" spans="2:3" x14ac:dyDescent="0.25">
      <c r="B82" s="139">
        <v>311</v>
      </c>
      <c r="C82" s="140">
        <f>IF((17/3)-(5*Punkteschnitt_390_tab[[#This Row],[Punkte]]/$B$3)&lt;1,1,TRUNC((17/3)-(5*Punkteschnitt_390_tab[[#This Row],[Punkte]]/$B$3),1))</f>
        <v>1.6</v>
      </c>
    </row>
    <row r="83" spans="2:3" x14ac:dyDescent="0.25">
      <c r="B83" s="139">
        <v>310</v>
      </c>
      <c r="C83" s="140">
        <f>IF((17/3)-(5*Punkteschnitt_390_tab[[#This Row],[Punkte]]/$B$3)&lt;1,1,TRUNC((17/3)-(5*Punkteschnitt_390_tab[[#This Row],[Punkte]]/$B$3),1))</f>
        <v>1.6</v>
      </c>
    </row>
    <row r="84" spans="2:3" x14ac:dyDescent="0.25">
      <c r="B84" s="139">
        <v>309</v>
      </c>
      <c r="C84" s="140">
        <f>IF((17/3)-(5*Punkteschnitt_390_tab[[#This Row],[Punkte]]/$B$3)&lt;1,1,TRUNC((17/3)-(5*Punkteschnitt_390_tab[[#This Row],[Punkte]]/$B$3),1))</f>
        <v>1.7</v>
      </c>
    </row>
    <row r="85" spans="2:3" x14ac:dyDescent="0.25">
      <c r="B85" s="139">
        <v>308</v>
      </c>
      <c r="C85" s="140">
        <f>IF((17/3)-(5*Punkteschnitt_390_tab[[#This Row],[Punkte]]/$B$3)&lt;1,1,TRUNC((17/3)-(5*Punkteschnitt_390_tab[[#This Row],[Punkte]]/$B$3),1))</f>
        <v>1.7</v>
      </c>
    </row>
    <row r="86" spans="2:3" x14ac:dyDescent="0.25">
      <c r="B86" s="139">
        <v>307</v>
      </c>
      <c r="C86" s="140">
        <f>IF((17/3)-(5*Punkteschnitt_390_tab[[#This Row],[Punkte]]/$B$3)&lt;1,1,TRUNC((17/3)-(5*Punkteschnitt_390_tab[[#This Row],[Punkte]]/$B$3),1))</f>
        <v>1.7</v>
      </c>
    </row>
    <row r="87" spans="2:3" x14ac:dyDescent="0.25">
      <c r="B87" s="139">
        <v>306</v>
      </c>
      <c r="C87" s="140">
        <f>IF((17/3)-(5*Punkteschnitt_390_tab[[#This Row],[Punkte]]/$B$3)&lt;1,1,TRUNC((17/3)-(5*Punkteschnitt_390_tab[[#This Row],[Punkte]]/$B$3),1))</f>
        <v>1.7</v>
      </c>
    </row>
    <row r="88" spans="2:3" x14ac:dyDescent="0.25">
      <c r="B88" s="139">
        <v>305</v>
      </c>
      <c r="C88" s="140">
        <f>IF((17/3)-(5*Punkteschnitt_390_tab[[#This Row],[Punkte]]/$B$3)&lt;1,1,TRUNC((17/3)-(5*Punkteschnitt_390_tab[[#This Row],[Punkte]]/$B$3),1))</f>
        <v>1.7</v>
      </c>
    </row>
    <row r="89" spans="2:3" x14ac:dyDescent="0.25">
      <c r="B89" s="139">
        <v>304</v>
      </c>
      <c r="C89" s="140">
        <f>IF((17/3)-(5*Punkteschnitt_390_tab[[#This Row],[Punkte]]/$B$3)&lt;1,1,TRUNC((17/3)-(5*Punkteschnitt_390_tab[[#This Row],[Punkte]]/$B$3),1))</f>
        <v>1.7</v>
      </c>
    </row>
    <row r="90" spans="2:3" x14ac:dyDescent="0.25">
      <c r="B90" s="139">
        <v>303</v>
      </c>
      <c r="C90" s="140">
        <f>IF((17/3)-(5*Punkteschnitt_390_tab[[#This Row],[Punkte]]/$B$3)&lt;1,1,TRUNC((17/3)-(5*Punkteschnitt_390_tab[[#This Row],[Punkte]]/$B$3),1))</f>
        <v>1.7</v>
      </c>
    </row>
    <row r="91" spans="2:3" x14ac:dyDescent="0.25">
      <c r="B91" s="139">
        <v>302</v>
      </c>
      <c r="C91" s="140">
        <f>IF((17/3)-(5*Punkteschnitt_390_tab[[#This Row],[Punkte]]/$B$3)&lt;1,1,TRUNC((17/3)-(5*Punkteschnitt_390_tab[[#This Row],[Punkte]]/$B$3),1))</f>
        <v>1.7</v>
      </c>
    </row>
    <row r="92" spans="2:3" x14ac:dyDescent="0.25">
      <c r="B92" s="139">
        <v>301</v>
      </c>
      <c r="C92" s="140">
        <f>IF((17/3)-(5*Punkteschnitt_390_tab[[#This Row],[Punkte]]/$B$3)&lt;1,1,TRUNC((17/3)-(5*Punkteschnitt_390_tab[[#This Row],[Punkte]]/$B$3),1))</f>
        <v>1.8</v>
      </c>
    </row>
    <row r="93" spans="2:3" x14ac:dyDescent="0.25">
      <c r="B93" s="139">
        <v>300</v>
      </c>
      <c r="C93" s="140">
        <f>IF((17/3)-(5*Punkteschnitt_390_tab[[#This Row],[Punkte]]/$B$3)&lt;1,1,TRUNC((17/3)-(5*Punkteschnitt_390_tab[[#This Row],[Punkte]]/$B$3),1))</f>
        <v>1.8</v>
      </c>
    </row>
    <row r="94" spans="2:3" x14ac:dyDescent="0.25">
      <c r="B94" s="139">
        <v>299</v>
      </c>
      <c r="C94" s="140">
        <f>IF((17/3)-(5*Punkteschnitt_390_tab[[#This Row],[Punkte]]/$B$3)&lt;1,1,TRUNC((17/3)-(5*Punkteschnitt_390_tab[[#This Row],[Punkte]]/$B$3),1))</f>
        <v>1.8</v>
      </c>
    </row>
    <row r="95" spans="2:3" x14ac:dyDescent="0.25">
      <c r="B95" s="139">
        <v>298</v>
      </c>
      <c r="C95" s="140">
        <f>IF((17/3)-(5*Punkteschnitt_390_tab[[#This Row],[Punkte]]/$B$3)&lt;1,1,TRUNC((17/3)-(5*Punkteschnitt_390_tab[[#This Row],[Punkte]]/$B$3),1))</f>
        <v>1.8</v>
      </c>
    </row>
    <row r="96" spans="2:3" x14ac:dyDescent="0.25">
      <c r="B96" s="139">
        <v>297</v>
      </c>
      <c r="C96" s="140">
        <f>IF((17/3)-(5*Punkteschnitt_390_tab[[#This Row],[Punkte]]/$B$3)&lt;1,1,TRUNC((17/3)-(5*Punkteschnitt_390_tab[[#This Row],[Punkte]]/$B$3),1))</f>
        <v>1.8</v>
      </c>
    </row>
    <row r="97" spans="2:3" x14ac:dyDescent="0.25">
      <c r="B97" s="139">
        <v>296</v>
      </c>
      <c r="C97" s="140">
        <f>IF((17/3)-(5*Punkteschnitt_390_tab[[#This Row],[Punkte]]/$B$3)&lt;1,1,TRUNC((17/3)-(5*Punkteschnitt_390_tab[[#This Row],[Punkte]]/$B$3),1))</f>
        <v>1.8</v>
      </c>
    </row>
    <row r="98" spans="2:3" x14ac:dyDescent="0.25">
      <c r="B98" s="139">
        <v>295</v>
      </c>
      <c r="C98" s="140">
        <f>IF((17/3)-(5*Punkteschnitt_390_tab[[#This Row],[Punkte]]/$B$3)&lt;1,1,TRUNC((17/3)-(5*Punkteschnitt_390_tab[[#This Row],[Punkte]]/$B$3),1))</f>
        <v>1.8</v>
      </c>
    </row>
    <row r="99" spans="2:3" x14ac:dyDescent="0.25">
      <c r="B99" s="139">
        <v>294</v>
      </c>
      <c r="C99" s="140">
        <f>IF((17/3)-(5*Punkteschnitt_390_tab[[#This Row],[Punkte]]/$B$3)&lt;1,1,TRUNC((17/3)-(5*Punkteschnitt_390_tab[[#This Row],[Punkte]]/$B$3),1))</f>
        <v>1.8</v>
      </c>
    </row>
    <row r="100" spans="2:3" x14ac:dyDescent="0.25">
      <c r="B100" s="139">
        <v>293</v>
      </c>
      <c r="C100" s="140">
        <f>IF((17/3)-(5*Punkteschnitt_390_tab[[#This Row],[Punkte]]/$B$3)&lt;1,1,TRUNC((17/3)-(5*Punkteschnitt_390_tab[[#This Row],[Punkte]]/$B$3),1))</f>
        <v>1.9</v>
      </c>
    </row>
    <row r="101" spans="2:3" x14ac:dyDescent="0.25">
      <c r="B101" s="139">
        <v>292</v>
      </c>
      <c r="C101" s="140">
        <f>IF((17/3)-(5*Punkteschnitt_390_tab[[#This Row],[Punkte]]/$B$3)&lt;1,1,TRUNC((17/3)-(5*Punkteschnitt_390_tab[[#This Row],[Punkte]]/$B$3),1))</f>
        <v>1.9</v>
      </c>
    </row>
    <row r="102" spans="2:3" x14ac:dyDescent="0.25">
      <c r="B102" s="139">
        <v>291</v>
      </c>
      <c r="C102" s="140">
        <f>IF((17/3)-(5*Punkteschnitt_390_tab[[#This Row],[Punkte]]/$B$3)&lt;1,1,TRUNC((17/3)-(5*Punkteschnitt_390_tab[[#This Row],[Punkte]]/$B$3),1))</f>
        <v>1.9</v>
      </c>
    </row>
    <row r="103" spans="2:3" x14ac:dyDescent="0.25">
      <c r="B103" s="139">
        <v>290</v>
      </c>
      <c r="C103" s="140">
        <f>IF((17/3)-(5*Punkteschnitt_390_tab[[#This Row],[Punkte]]/$B$3)&lt;1,1,TRUNC((17/3)-(5*Punkteschnitt_390_tab[[#This Row],[Punkte]]/$B$3),1))</f>
        <v>1.9</v>
      </c>
    </row>
    <row r="104" spans="2:3" x14ac:dyDescent="0.25">
      <c r="B104" s="139">
        <v>289</v>
      </c>
      <c r="C104" s="140">
        <f>IF((17/3)-(5*Punkteschnitt_390_tab[[#This Row],[Punkte]]/$B$3)&lt;1,1,TRUNC((17/3)-(5*Punkteschnitt_390_tab[[#This Row],[Punkte]]/$B$3),1))</f>
        <v>1.9</v>
      </c>
    </row>
    <row r="105" spans="2:3" x14ac:dyDescent="0.25">
      <c r="B105" s="139">
        <v>288</v>
      </c>
      <c r="C105" s="140">
        <f>IF((17/3)-(5*Punkteschnitt_390_tab[[#This Row],[Punkte]]/$B$3)&lt;1,1,TRUNC((17/3)-(5*Punkteschnitt_390_tab[[#This Row],[Punkte]]/$B$3),1))</f>
        <v>1.9</v>
      </c>
    </row>
    <row r="106" spans="2:3" x14ac:dyDescent="0.25">
      <c r="B106" s="139">
        <v>287</v>
      </c>
      <c r="C106" s="140">
        <f>IF((17/3)-(5*Punkteschnitt_390_tab[[#This Row],[Punkte]]/$B$3)&lt;1,1,TRUNC((17/3)-(5*Punkteschnitt_390_tab[[#This Row],[Punkte]]/$B$3),1))</f>
        <v>1.9</v>
      </c>
    </row>
    <row r="107" spans="2:3" x14ac:dyDescent="0.25">
      <c r="B107" s="139">
        <v>286</v>
      </c>
      <c r="C107" s="140">
        <f>IF((17/3)-(5*Punkteschnitt_390_tab[[#This Row],[Punkte]]/$B$3)&lt;1,1,TRUNC((17/3)-(5*Punkteschnitt_390_tab[[#This Row],[Punkte]]/$B$3),1))</f>
        <v>2</v>
      </c>
    </row>
    <row r="108" spans="2:3" x14ac:dyDescent="0.25">
      <c r="B108" s="139">
        <v>285</v>
      </c>
      <c r="C108" s="140">
        <f>IF((17/3)-(5*Punkteschnitt_390_tab[[#This Row],[Punkte]]/$B$3)&lt;1,1,TRUNC((17/3)-(5*Punkteschnitt_390_tab[[#This Row],[Punkte]]/$B$3),1))</f>
        <v>2</v>
      </c>
    </row>
    <row r="109" spans="2:3" x14ac:dyDescent="0.25">
      <c r="B109" s="139">
        <v>284</v>
      </c>
      <c r="C109" s="140">
        <f>IF((17/3)-(5*Punkteschnitt_390_tab[[#This Row],[Punkte]]/$B$3)&lt;1,1,TRUNC((17/3)-(5*Punkteschnitt_390_tab[[#This Row],[Punkte]]/$B$3),1))</f>
        <v>2</v>
      </c>
    </row>
    <row r="110" spans="2:3" x14ac:dyDescent="0.25">
      <c r="B110" s="139">
        <v>283</v>
      </c>
      <c r="C110" s="140">
        <f>IF((17/3)-(5*Punkteschnitt_390_tab[[#This Row],[Punkte]]/$B$3)&lt;1,1,TRUNC((17/3)-(5*Punkteschnitt_390_tab[[#This Row],[Punkte]]/$B$3),1))</f>
        <v>2</v>
      </c>
    </row>
    <row r="111" spans="2:3" x14ac:dyDescent="0.25">
      <c r="B111" s="139">
        <v>282</v>
      </c>
      <c r="C111" s="140">
        <f>IF((17/3)-(5*Punkteschnitt_390_tab[[#This Row],[Punkte]]/$B$3)&lt;1,1,TRUNC((17/3)-(5*Punkteschnitt_390_tab[[#This Row],[Punkte]]/$B$3),1))</f>
        <v>2</v>
      </c>
    </row>
    <row r="112" spans="2:3" x14ac:dyDescent="0.25">
      <c r="B112" s="139">
        <v>281</v>
      </c>
      <c r="C112" s="140">
        <f>IF((17/3)-(5*Punkteschnitt_390_tab[[#This Row],[Punkte]]/$B$3)&lt;1,1,TRUNC((17/3)-(5*Punkteschnitt_390_tab[[#This Row],[Punkte]]/$B$3),1))</f>
        <v>2</v>
      </c>
    </row>
    <row r="113" spans="2:3" x14ac:dyDescent="0.25">
      <c r="B113" s="139">
        <v>280</v>
      </c>
      <c r="C113" s="140">
        <f>IF((17/3)-(5*Punkteschnitt_390_tab[[#This Row],[Punkte]]/$B$3)&lt;1,1,TRUNC((17/3)-(5*Punkteschnitt_390_tab[[#This Row],[Punkte]]/$B$3),1))</f>
        <v>2</v>
      </c>
    </row>
    <row r="114" spans="2:3" x14ac:dyDescent="0.25">
      <c r="B114" s="139">
        <v>279</v>
      </c>
      <c r="C114" s="140">
        <f>IF((17/3)-(5*Punkteschnitt_390_tab[[#This Row],[Punkte]]/$B$3)&lt;1,1,TRUNC((17/3)-(5*Punkteschnitt_390_tab[[#This Row],[Punkte]]/$B$3),1))</f>
        <v>2</v>
      </c>
    </row>
    <row r="115" spans="2:3" x14ac:dyDescent="0.25">
      <c r="B115" s="139">
        <v>278</v>
      </c>
      <c r="C115" s="140">
        <f>IF((17/3)-(5*Punkteschnitt_390_tab[[#This Row],[Punkte]]/$B$3)&lt;1,1,TRUNC((17/3)-(5*Punkteschnitt_390_tab[[#This Row],[Punkte]]/$B$3),1))</f>
        <v>2.1</v>
      </c>
    </row>
    <row r="116" spans="2:3" x14ac:dyDescent="0.25">
      <c r="B116" s="139">
        <v>277</v>
      </c>
      <c r="C116" s="140">
        <f>IF((17/3)-(5*Punkteschnitt_390_tab[[#This Row],[Punkte]]/$B$3)&lt;1,1,TRUNC((17/3)-(5*Punkteschnitt_390_tab[[#This Row],[Punkte]]/$B$3),1))</f>
        <v>2.1</v>
      </c>
    </row>
    <row r="117" spans="2:3" x14ac:dyDescent="0.25">
      <c r="B117" s="139">
        <v>276</v>
      </c>
      <c r="C117" s="140">
        <f>IF((17/3)-(5*Punkteschnitt_390_tab[[#This Row],[Punkte]]/$B$3)&lt;1,1,TRUNC((17/3)-(5*Punkteschnitt_390_tab[[#This Row],[Punkte]]/$B$3),1))</f>
        <v>2.1</v>
      </c>
    </row>
    <row r="118" spans="2:3" x14ac:dyDescent="0.25">
      <c r="B118" s="139">
        <v>275</v>
      </c>
      <c r="C118" s="140">
        <f>IF((17/3)-(5*Punkteschnitt_390_tab[[#This Row],[Punkte]]/$B$3)&lt;1,1,TRUNC((17/3)-(5*Punkteschnitt_390_tab[[#This Row],[Punkte]]/$B$3),1))</f>
        <v>2.1</v>
      </c>
    </row>
    <row r="119" spans="2:3" x14ac:dyDescent="0.25">
      <c r="B119" s="139">
        <v>274</v>
      </c>
      <c r="C119" s="140">
        <f>IF((17/3)-(5*Punkteschnitt_390_tab[[#This Row],[Punkte]]/$B$3)&lt;1,1,TRUNC((17/3)-(5*Punkteschnitt_390_tab[[#This Row],[Punkte]]/$B$3),1))</f>
        <v>2.1</v>
      </c>
    </row>
    <row r="120" spans="2:3" x14ac:dyDescent="0.25">
      <c r="B120" s="139">
        <v>273</v>
      </c>
      <c r="C120" s="140">
        <f>IF((17/3)-(5*Punkteschnitt_390_tab[[#This Row],[Punkte]]/$B$3)&lt;1,1,TRUNC((17/3)-(5*Punkteschnitt_390_tab[[#This Row],[Punkte]]/$B$3),1))</f>
        <v>2.1</v>
      </c>
    </row>
    <row r="121" spans="2:3" x14ac:dyDescent="0.25">
      <c r="B121" s="139">
        <v>272</v>
      </c>
      <c r="C121" s="140">
        <f>IF((17/3)-(5*Punkteschnitt_390_tab[[#This Row],[Punkte]]/$B$3)&lt;1,1,TRUNC((17/3)-(5*Punkteschnitt_390_tab[[#This Row],[Punkte]]/$B$3),1))</f>
        <v>2.1</v>
      </c>
    </row>
    <row r="122" spans="2:3" x14ac:dyDescent="0.25">
      <c r="B122" s="139">
        <v>271</v>
      </c>
      <c r="C122" s="140">
        <f>IF((17/3)-(5*Punkteschnitt_390_tab[[#This Row],[Punkte]]/$B$3)&lt;1,1,TRUNC((17/3)-(5*Punkteschnitt_390_tab[[#This Row],[Punkte]]/$B$3),1))</f>
        <v>2.1</v>
      </c>
    </row>
    <row r="123" spans="2:3" x14ac:dyDescent="0.25">
      <c r="B123" s="139">
        <v>270</v>
      </c>
      <c r="C123" s="140">
        <f>IF((17/3)-(5*Punkteschnitt_390_tab[[#This Row],[Punkte]]/$B$3)&lt;1,1,TRUNC((17/3)-(5*Punkteschnitt_390_tab[[#This Row],[Punkte]]/$B$3),1))</f>
        <v>2.2000000000000002</v>
      </c>
    </row>
    <row r="124" spans="2:3" x14ac:dyDescent="0.25">
      <c r="B124" s="139">
        <v>269</v>
      </c>
      <c r="C124" s="140">
        <f>IF((17/3)-(5*Punkteschnitt_390_tab[[#This Row],[Punkte]]/$B$3)&lt;1,1,TRUNC((17/3)-(5*Punkteschnitt_390_tab[[#This Row],[Punkte]]/$B$3),1))</f>
        <v>2.2000000000000002</v>
      </c>
    </row>
    <row r="125" spans="2:3" x14ac:dyDescent="0.25">
      <c r="B125" s="139">
        <v>268</v>
      </c>
      <c r="C125" s="140">
        <f>IF((17/3)-(5*Punkteschnitt_390_tab[[#This Row],[Punkte]]/$B$3)&lt;1,1,TRUNC((17/3)-(5*Punkteschnitt_390_tab[[#This Row],[Punkte]]/$B$3),1))</f>
        <v>2.2000000000000002</v>
      </c>
    </row>
    <row r="126" spans="2:3" x14ac:dyDescent="0.25">
      <c r="B126" s="139">
        <v>267</v>
      </c>
      <c r="C126" s="140">
        <f>IF((17/3)-(5*Punkteschnitt_390_tab[[#This Row],[Punkte]]/$B$3)&lt;1,1,TRUNC((17/3)-(5*Punkteschnitt_390_tab[[#This Row],[Punkte]]/$B$3),1))</f>
        <v>2.2000000000000002</v>
      </c>
    </row>
    <row r="127" spans="2:3" x14ac:dyDescent="0.25">
      <c r="B127" s="139">
        <v>266</v>
      </c>
      <c r="C127" s="140">
        <f>IF((17/3)-(5*Punkteschnitt_390_tab[[#This Row],[Punkte]]/$B$3)&lt;1,1,TRUNC((17/3)-(5*Punkteschnitt_390_tab[[#This Row],[Punkte]]/$B$3),1))</f>
        <v>2.2000000000000002</v>
      </c>
    </row>
    <row r="128" spans="2:3" x14ac:dyDescent="0.25">
      <c r="B128" s="139">
        <v>265</v>
      </c>
      <c r="C128" s="140">
        <f>IF((17/3)-(5*Punkteschnitt_390_tab[[#This Row],[Punkte]]/$B$3)&lt;1,1,TRUNC((17/3)-(5*Punkteschnitt_390_tab[[#This Row],[Punkte]]/$B$3),1))</f>
        <v>2.2000000000000002</v>
      </c>
    </row>
    <row r="129" spans="2:3" x14ac:dyDescent="0.25">
      <c r="B129" s="139">
        <v>264</v>
      </c>
      <c r="C129" s="140">
        <f>IF((17/3)-(5*Punkteschnitt_390_tab[[#This Row],[Punkte]]/$B$3)&lt;1,1,TRUNC((17/3)-(5*Punkteschnitt_390_tab[[#This Row],[Punkte]]/$B$3),1))</f>
        <v>2.2000000000000002</v>
      </c>
    </row>
    <row r="130" spans="2:3" x14ac:dyDescent="0.25">
      <c r="B130" s="139">
        <v>263</v>
      </c>
      <c r="C130" s="140">
        <f>IF((17/3)-(5*Punkteschnitt_390_tab[[#This Row],[Punkte]]/$B$3)&lt;1,1,TRUNC((17/3)-(5*Punkteschnitt_390_tab[[#This Row],[Punkte]]/$B$3),1))</f>
        <v>2.2000000000000002</v>
      </c>
    </row>
    <row r="131" spans="2:3" x14ac:dyDescent="0.25">
      <c r="B131" s="139">
        <v>262</v>
      </c>
      <c r="C131" s="140">
        <f>IF((17/3)-(5*Punkteschnitt_390_tab[[#This Row],[Punkte]]/$B$3)&lt;1,1,TRUNC((17/3)-(5*Punkteschnitt_390_tab[[#This Row],[Punkte]]/$B$3),1))</f>
        <v>2.2999999999999998</v>
      </c>
    </row>
    <row r="132" spans="2:3" x14ac:dyDescent="0.25">
      <c r="B132" s="139">
        <v>261</v>
      </c>
      <c r="C132" s="140">
        <f>IF((17/3)-(5*Punkteschnitt_390_tab[[#This Row],[Punkte]]/$B$3)&lt;1,1,TRUNC((17/3)-(5*Punkteschnitt_390_tab[[#This Row],[Punkte]]/$B$3),1))</f>
        <v>2.2999999999999998</v>
      </c>
    </row>
    <row r="133" spans="2:3" x14ac:dyDescent="0.25">
      <c r="B133" s="139">
        <v>260</v>
      </c>
      <c r="C133" s="140">
        <f>IF((17/3)-(5*Punkteschnitt_390_tab[[#This Row],[Punkte]]/$B$3)&lt;1,1,TRUNC((17/3)-(5*Punkteschnitt_390_tab[[#This Row],[Punkte]]/$B$3),1))</f>
        <v>2.2999999999999998</v>
      </c>
    </row>
    <row r="134" spans="2:3" x14ac:dyDescent="0.25">
      <c r="B134" s="139">
        <v>259</v>
      </c>
      <c r="C134" s="140">
        <f>IF((17/3)-(5*Punkteschnitt_390_tab[[#This Row],[Punkte]]/$B$3)&lt;1,1,TRUNC((17/3)-(5*Punkteschnitt_390_tab[[#This Row],[Punkte]]/$B$3),1))</f>
        <v>2.2999999999999998</v>
      </c>
    </row>
    <row r="135" spans="2:3" x14ac:dyDescent="0.25">
      <c r="B135" s="139">
        <v>258</v>
      </c>
      <c r="C135" s="140">
        <f>IF((17/3)-(5*Punkteschnitt_390_tab[[#This Row],[Punkte]]/$B$3)&lt;1,1,TRUNC((17/3)-(5*Punkteschnitt_390_tab[[#This Row],[Punkte]]/$B$3),1))</f>
        <v>2.2999999999999998</v>
      </c>
    </row>
    <row r="136" spans="2:3" x14ac:dyDescent="0.25">
      <c r="B136" s="139">
        <v>257</v>
      </c>
      <c r="C136" s="140">
        <f>IF((17/3)-(5*Punkteschnitt_390_tab[[#This Row],[Punkte]]/$B$3)&lt;1,1,TRUNC((17/3)-(5*Punkteschnitt_390_tab[[#This Row],[Punkte]]/$B$3),1))</f>
        <v>2.2999999999999998</v>
      </c>
    </row>
    <row r="137" spans="2:3" x14ac:dyDescent="0.25">
      <c r="B137" s="139">
        <v>256</v>
      </c>
      <c r="C137" s="140">
        <f>IF((17/3)-(5*Punkteschnitt_390_tab[[#This Row],[Punkte]]/$B$3)&lt;1,1,TRUNC((17/3)-(5*Punkteschnitt_390_tab[[#This Row],[Punkte]]/$B$3),1))</f>
        <v>2.2999999999999998</v>
      </c>
    </row>
    <row r="138" spans="2:3" x14ac:dyDescent="0.25">
      <c r="B138" s="139">
        <v>255</v>
      </c>
      <c r="C138" s="140">
        <f>IF((17/3)-(5*Punkteschnitt_390_tab[[#This Row],[Punkte]]/$B$3)&lt;1,1,TRUNC((17/3)-(5*Punkteschnitt_390_tab[[#This Row],[Punkte]]/$B$3),1))</f>
        <v>2.2999999999999998</v>
      </c>
    </row>
    <row r="139" spans="2:3" x14ac:dyDescent="0.25">
      <c r="B139" s="139">
        <v>254</v>
      </c>
      <c r="C139" s="140">
        <f>IF((17/3)-(5*Punkteschnitt_390_tab[[#This Row],[Punkte]]/$B$3)&lt;1,1,TRUNC((17/3)-(5*Punkteschnitt_390_tab[[#This Row],[Punkte]]/$B$3),1))</f>
        <v>2.4</v>
      </c>
    </row>
    <row r="140" spans="2:3" x14ac:dyDescent="0.25">
      <c r="B140" s="139">
        <v>253</v>
      </c>
      <c r="C140" s="140">
        <f>IF((17/3)-(5*Punkteschnitt_390_tab[[#This Row],[Punkte]]/$B$3)&lt;1,1,TRUNC((17/3)-(5*Punkteschnitt_390_tab[[#This Row],[Punkte]]/$B$3),1))</f>
        <v>2.4</v>
      </c>
    </row>
    <row r="141" spans="2:3" x14ac:dyDescent="0.25">
      <c r="B141" s="139">
        <v>252</v>
      </c>
      <c r="C141" s="140">
        <f>IF((17/3)-(5*Punkteschnitt_390_tab[[#This Row],[Punkte]]/$B$3)&lt;1,1,TRUNC((17/3)-(5*Punkteschnitt_390_tab[[#This Row],[Punkte]]/$B$3),1))</f>
        <v>2.4</v>
      </c>
    </row>
    <row r="142" spans="2:3" x14ac:dyDescent="0.25">
      <c r="B142" s="139">
        <v>251</v>
      </c>
      <c r="C142" s="140">
        <f>IF((17/3)-(5*Punkteschnitt_390_tab[[#This Row],[Punkte]]/$B$3)&lt;1,1,TRUNC((17/3)-(5*Punkteschnitt_390_tab[[#This Row],[Punkte]]/$B$3),1))</f>
        <v>2.4</v>
      </c>
    </row>
    <row r="143" spans="2:3" x14ac:dyDescent="0.25">
      <c r="B143" s="139">
        <v>250</v>
      </c>
      <c r="C143" s="140">
        <f>IF((17/3)-(5*Punkteschnitt_390_tab[[#This Row],[Punkte]]/$B$3)&lt;1,1,TRUNC((17/3)-(5*Punkteschnitt_390_tab[[#This Row],[Punkte]]/$B$3),1))</f>
        <v>2.4</v>
      </c>
    </row>
    <row r="144" spans="2:3" x14ac:dyDescent="0.25">
      <c r="B144" s="139">
        <v>249</v>
      </c>
      <c r="C144" s="140">
        <f>IF((17/3)-(5*Punkteschnitt_390_tab[[#This Row],[Punkte]]/$B$3)&lt;1,1,TRUNC((17/3)-(5*Punkteschnitt_390_tab[[#This Row],[Punkte]]/$B$3),1))</f>
        <v>2.4</v>
      </c>
    </row>
    <row r="145" spans="2:3" x14ac:dyDescent="0.25">
      <c r="B145" s="139">
        <v>248</v>
      </c>
      <c r="C145" s="140">
        <f>IF((17/3)-(5*Punkteschnitt_390_tab[[#This Row],[Punkte]]/$B$3)&lt;1,1,TRUNC((17/3)-(5*Punkteschnitt_390_tab[[#This Row],[Punkte]]/$B$3),1))</f>
        <v>2.4</v>
      </c>
    </row>
    <row r="146" spans="2:3" x14ac:dyDescent="0.25">
      <c r="B146" s="139">
        <v>247</v>
      </c>
      <c r="C146" s="140">
        <f>IF((17/3)-(5*Punkteschnitt_390_tab[[#This Row],[Punkte]]/$B$3)&lt;1,1,TRUNC((17/3)-(5*Punkteschnitt_390_tab[[#This Row],[Punkte]]/$B$3),1))</f>
        <v>2.5</v>
      </c>
    </row>
    <row r="147" spans="2:3" x14ac:dyDescent="0.25">
      <c r="B147" s="139">
        <v>246</v>
      </c>
      <c r="C147" s="140">
        <f>IF((17/3)-(5*Punkteschnitt_390_tab[[#This Row],[Punkte]]/$B$3)&lt;1,1,TRUNC((17/3)-(5*Punkteschnitt_390_tab[[#This Row],[Punkte]]/$B$3),1))</f>
        <v>2.5</v>
      </c>
    </row>
    <row r="148" spans="2:3" x14ac:dyDescent="0.25">
      <c r="B148" s="139">
        <v>245</v>
      </c>
      <c r="C148" s="140">
        <f>IF((17/3)-(5*Punkteschnitt_390_tab[[#This Row],[Punkte]]/$B$3)&lt;1,1,TRUNC((17/3)-(5*Punkteschnitt_390_tab[[#This Row],[Punkte]]/$B$3),1))</f>
        <v>2.5</v>
      </c>
    </row>
    <row r="149" spans="2:3" x14ac:dyDescent="0.25">
      <c r="B149" s="139">
        <v>244</v>
      </c>
      <c r="C149" s="140">
        <f>IF((17/3)-(5*Punkteschnitt_390_tab[[#This Row],[Punkte]]/$B$3)&lt;1,1,TRUNC((17/3)-(5*Punkteschnitt_390_tab[[#This Row],[Punkte]]/$B$3),1))</f>
        <v>2.5</v>
      </c>
    </row>
    <row r="150" spans="2:3" x14ac:dyDescent="0.25">
      <c r="B150" s="139">
        <v>243</v>
      </c>
      <c r="C150" s="140">
        <f>IF((17/3)-(5*Punkteschnitt_390_tab[[#This Row],[Punkte]]/$B$3)&lt;1,1,TRUNC((17/3)-(5*Punkteschnitt_390_tab[[#This Row],[Punkte]]/$B$3),1))</f>
        <v>2.5</v>
      </c>
    </row>
    <row r="151" spans="2:3" x14ac:dyDescent="0.25">
      <c r="B151" s="139">
        <v>242</v>
      </c>
      <c r="C151" s="140">
        <f>IF((17/3)-(5*Punkteschnitt_390_tab[[#This Row],[Punkte]]/$B$3)&lt;1,1,TRUNC((17/3)-(5*Punkteschnitt_390_tab[[#This Row],[Punkte]]/$B$3),1))</f>
        <v>2.5</v>
      </c>
    </row>
    <row r="152" spans="2:3" x14ac:dyDescent="0.25">
      <c r="B152" s="139">
        <v>241</v>
      </c>
      <c r="C152" s="140">
        <f>IF((17/3)-(5*Punkteschnitt_390_tab[[#This Row],[Punkte]]/$B$3)&lt;1,1,TRUNC((17/3)-(5*Punkteschnitt_390_tab[[#This Row],[Punkte]]/$B$3),1))</f>
        <v>2.5</v>
      </c>
    </row>
    <row r="153" spans="2:3" x14ac:dyDescent="0.25">
      <c r="B153" s="139">
        <v>240</v>
      </c>
      <c r="C153" s="140">
        <f>IF((17/3)-(5*Punkteschnitt_390_tab[[#This Row],[Punkte]]/$B$3)&lt;1,1,TRUNC((17/3)-(5*Punkteschnitt_390_tab[[#This Row],[Punkte]]/$B$3),1))</f>
        <v>2.5</v>
      </c>
    </row>
    <row r="154" spans="2:3" x14ac:dyDescent="0.25">
      <c r="B154" s="139">
        <v>239</v>
      </c>
      <c r="C154" s="140">
        <f>IF((17/3)-(5*Punkteschnitt_390_tab[[#This Row],[Punkte]]/$B$3)&lt;1,1,TRUNC((17/3)-(5*Punkteschnitt_390_tab[[#This Row],[Punkte]]/$B$3),1))</f>
        <v>2.6</v>
      </c>
    </row>
    <row r="155" spans="2:3" x14ac:dyDescent="0.25">
      <c r="B155" s="139">
        <v>238</v>
      </c>
      <c r="C155" s="140">
        <f>IF((17/3)-(5*Punkteschnitt_390_tab[[#This Row],[Punkte]]/$B$3)&lt;1,1,TRUNC((17/3)-(5*Punkteschnitt_390_tab[[#This Row],[Punkte]]/$B$3),1))</f>
        <v>2.6</v>
      </c>
    </row>
    <row r="156" spans="2:3" x14ac:dyDescent="0.25">
      <c r="B156" s="139">
        <v>237</v>
      </c>
      <c r="C156" s="140">
        <f>IF((17/3)-(5*Punkteschnitt_390_tab[[#This Row],[Punkte]]/$B$3)&lt;1,1,TRUNC((17/3)-(5*Punkteschnitt_390_tab[[#This Row],[Punkte]]/$B$3),1))</f>
        <v>2.6</v>
      </c>
    </row>
    <row r="157" spans="2:3" x14ac:dyDescent="0.25">
      <c r="B157" s="139">
        <v>236</v>
      </c>
      <c r="C157" s="140">
        <f>IF((17/3)-(5*Punkteschnitt_390_tab[[#This Row],[Punkte]]/$B$3)&lt;1,1,TRUNC((17/3)-(5*Punkteschnitt_390_tab[[#This Row],[Punkte]]/$B$3),1))</f>
        <v>2.6</v>
      </c>
    </row>
    <row r="158" spans="2:3" x14ac:dyDescent="0.25">
      <c r="B158" s="139">
        <v>235</v>
      </c>
      <c r="C158" s="140">
        <f>IF((17/3)-(5*Punkteschnitt_390_tab[[#This Row],[Punkte]]/$B$3)&lt;1,1,TRUNC((17/3)-(5*Punkteschnitt_390_tab[[#This Row],[Punkte]]/$B$3),1))</f>
        <v>2.6</v>
      </c>
    </row>
    <row r="159" spans="2:3" x14ac:dyDescent="0.25">
      <c r="B159" s="139">
        <v>234</v>
      </c>
      <c r="C159" s="140">
        <f>IF((17/3)-(5*Punkteschnitt_390_tab[[#This Row],[Punkte]]/$B$3)&lt;1,1,TRUNC((17/3)-(5*Punkteschnitt_390_tab[[#This Row],[Punkte]]/$B$3),1))</f>
        <v>2.6</v>
      </c>
    </row>
    <row r="160" spans="2:3" x14ac:dyDescent="0.25">
      <c r="B160" s="139">
        <v>233</v>
      </c>
      <c r="C160" s="140">
        <f>IF((17/3)-(5*Punkteschnitt_390_tab[[#This Row],[Punkte]]/$B$3)&lt;1,1,TRUNC((17/3)-(5*Punkteschnitt_390_tab[[#This Row],[Punkte]]/$B$3),1))</f>
        <v>2.6</v>
      </c>
    </row>
    <row r="161" spans="2:3" x14ac:dyDescent="0.25">
      <c r="B161" s="139">
        <v>232</v>
      </c>
      <c r="C161" s="140">
        <f>IF((17/3)-(5*Punkteschnitt_390_tab[[#This Row],[Punkte]]/$B$3)&lt;1,1,TRUNC((17/3)-(5*Punkteschnitt_390_tab[[#This Row],[Punkte]]/$B$3),1))</f>
        <v>2.6</v>
      </c>
    </row>
    <row r="162" spans="2:3" x14ac:dyDescent="0.25">
      <c r="B162" s="139">
        <v>231</v>
      </c>
      <c r="C162" s="140">
        <f>IF((17/3)-(5*Punkteschnitt_390_tab[[#This Row],[Punkte]]/$B$3)&lt;1,1,TRUNC((17/3)-(5*Punkteschnitt_390_tab[[#This Row],[Punkte]]/$B$3),1))</f>
        <v>2.7</v>
      </c>
    </row>
    <row r="163" spans="2:3" x14ac:dyDescent="0.25">
      <c r="B163" s="139">
        <v>230</v>
      </c>
      <c r="C163" s="140">
        <f>IF((17/3)-(5*Punkteschnitt_390_tab[[#This Row],[Punkte]]/$B$3)&lt;1,1,TRUNC((17/3)-(5*Punkteschnitt_390_tab[[#This Row],[Punkte]]/$B$3),1))</f>
        <v>2.7</v>
      </c>
    </row>
    <row r="164" spans="2:3" x14ac:dyDescent="0.25">
      <c r="B164" s="139">
        <v>229</v>
      </c>
      <c r="C164" s="140">
        <f>IF((17/3)-(5*Punkteschnitt_390_tab[[#This Row],[Punkte]]/$B$3)&lt;1,1,TRUNC((17/3)-(5*Punkteschnitt_390_tab[[#This Row],[Punkte]]/$B$3),1))</f>
        <v>2.7</v>
      </c>
    </row>
    <row r="165" spans="2:3" x14ac:dyDescent="0.25">
      <c r="B165" s="139">
        <v>228</v>
      </c>
      <c r="C165" s="140">
        <f>IF((17/3)-(5*Punkteschnitt_390_tab[[#This Row],[Punkte]]/$B$3)&lt;1,1,TRUNC((17/3)-(5*Punkteschnitt_390_tab[[#This Row],[Punkte]]/$B$3),1))</f>
        <v>2.7</v>
      </c>
    </row>
    <row r="166" spans="2:3" x14ac:dyDescent="0.25">
      <c r="B166" s="139">
        <v>227</v>
      </c>
      <c r="C166" s="140">
        <f>IF((17/3)-(5*Punkteschnitt_390_tab[[#This Row],[Punkte]]/$B$3)&lt;1,1,TRUNC((17/3)-(5*Punkteschnitt_390_tab[[#This Row],[Punkte]]/$B$3),1))</f>
        <v>2.7</v>
      </c>
    </row>
    <row r="167" spans="2:3" x14ac:dyDescent="0.25">
      <c r="B167" s="139">
        <v>226</v>
      </c>
      <c r="C167" s="140">
        <f>IF((17/3)-(5*Punkteschnitt_390_tab[[#This Row],[Punkte]]/$B$3)&lt;1,1,TRUNC((17/3)-(5*Punkteschnitt_390_tab[[#This Row],[Punkte]]/$B$3),1))</f>
        <v>2.7</v>
      </c>
    </row>
    <row r="168" spans="2:3" x14ac:dyDescent="0.25">
      <c r="B168" s="139">
        <v>225</v>
      </c>
      <c r="C168" s="140">
        <f>IF((17/3)-(5*Punkteschnitt_390_tab[[#This Row],[Punkte]]/$B$3)&lt;1,1,TRUNC((17/3)-(5*Punkteschnitt_390_tab[[#This Row],[Punkte]]/$B$3),1))</f>
        <v>2.7</v>
      </c>
    </row>
    <row r="169" spans="2:3" x14ac:dyDescent="0.25">
      <c r="B169" s="139">
        <v>224</v>
      </c>
      <c r="C169" s="140">
        <f>IF((17/3)-(5*Punkteschnitt_390_tab[[#This Row],[Punkte]]/$B$3)&lt;1,1,TRUNC((17/3)-(5*Punkteschnitt_390_tab[[#This Row],[Punkte]]/$B$3),1))</f>
        <v>2.7</v>
      </c>
    </row>
    <row r="170" spans="2:3" x14ac:dyDescent="0.25">
      <c r="B170" s="139">
        <v>223</v>
      </c>
      <c r="C170" s="140">
        <f>IF((17/3)-(5*Punkteschnitt_390_tab[[#This Row],[Punkte]]/$B$3)&lt;1,1,TRUNC((17/3)-(5*Punkteschnitt_390_tab[[#This Row],[Punkte]]/$B$3),1))</f>
        <v>2.8</v>
      </c>
    </row>
    <row r="171" spans="2:3" x14ac:dyDescent="0.25">
      <c r="B171" s="139">
        <v>222</v>
      </c>
      <c r="C171" s="140">
        <f>IF((17/3)-(5*Punkteschnitt_390_tab[[#This Row],[Punkte]]/$B$3)&lt;1,1,TRUNC((17/3)-(5*Punkteschnitt_390_tab[[#This Row],[Punkte]]/$B$3),1))</f>
        <v>2.8</v>
      </c>
    </row>
    <row r="172" spans="2:3" x14ac:dyDescent="0.25">
      <c r="B172" s="139">
        <v>221</v>
      </c>
      <c r="C172" s="140">
        <f>IF((17/3)-(5*Punkteschnitt_390_tab[[#This Row],[Punkte]]/$B$3)&lt;1,1,TRUNC((17/3)-(5*Punkteschnitt_390_tab[[#This Row],[Punkte]]/$B$3),1))</f>
        <v>2.8</v>
      </c>
    </row>
    <row r="173" spans="2:3" x14ac:dyDescent="0.25">
      <c r="B173" s="139">
        <v>220</v>
      </c>
      <c r="C173" s="140">
        <f>IF((17/3)-(5*Punkteschnitt_390_tab[[#This Row],[Punkte]]/$B$3)&lt;1,1,TRUNC((17/3)-(5*Punkteschnitt_390_tab[[#This Row],[Punkte]]/$B$3),1))</f>
        <v>2.8</v>
      </c>
    </row>
    <row r="174" spans="2:3" x14ac:dyDescent="0.25">
      <c r="B174" s="139">
        <v>219</v>
      </c>
      <c r="C174" s="140">
        <f>IF((17/3)-(5*Punkteschnitt_390_tab[[#This Row],[Punkte]]/$B$3)&lt;1,1,TRUNC((17/3)-(5*Punkteschnitt_390_tab[[#This Row],[Punkte]]/$B$3),1))</f>
        <v>2.8</v>
      </c>
    </row>
    <row r="175" spans="2:3" x14ac:dyDescent="0.25">
      <c r="B175" s="139">
        <v>218</v>
      </c>
      <c r="C175" s="140">
        <f>IF((17/3)-(5*Punkteschnitt_390_tab[[#This Row],[Punkte]]/$B$3)&lt;1,1,TRUNC((17/3)-(5*Punkteschnitt_390_tab[[#This Row],[Punkte]]/$B$3),1))</f>
        <v>2.8</v>
      </c>
    </row>
    <row r="176" spans="2:3" x14ac:dyDescent="0.25">
      <c r="B176" s="139">
        <v>217</v>
      </c>
      <c r="C176" s="140">
        <f>IF((17/3)-(5*Punkteschnitt_390_tab[[#This Row],[Punkte]]/$B$3)&lt;1,1,TRUNC((17/3)-(5*Punkteschnitt_390_tab[[#This Row],[Punkte]]/$B$3),1))</f>
        <v>2.8</v>
      </c>
    </row>
    <row r="177" spans="2:3" x14ac:dyDescent="0.25">
      <c r="B177" s="139">
        <v>216</v>
      </c>
      <c r="C177" s="140">
        <f>IF((17/3)-(5*Punkteschnitt_390_tab[[#This Row],[Punkte]]/$B$3)&lt;1,1,TRUNC((17/3)-(5*Punkteschnitt_390_tab[[#This Row],[Punkte]]/$B$3),1))</f>
        <v>2.8</v>
      </c>
    </row>
    <row r="178" spans="2:3" x14ac:dyDescent="0.25">
      <c r="B178" s="139">
        <v>215</v>
      </c>
      <c r="C178" s="140">
        <f>IF((17/3)-(5*Punkteschnitt_390_tab[[#This Row],[Punkte]]/$B$3)&lt;1,1,TRUNC((17/3)-(5*Punkteschnitt_390_tab[[#This Row],[Punkte]]/$B$3),1))</f>
        <v>2.9</v>
      </c>
    </row>
    <row r="179" spans="2:3" x14ac:dyDescent="0.25">
      <c r="B179" s="139">
        <v>214</v>
      </c>
      <c r="C179" s="140">
        <f>IF((17/3)-(5*Punkteschnitt_390_tab[[#This Row],[Punkte]]/$B$3)&lt;1,1,TRUNC((17/3)-(5*Punkteschnitt_390_tab[[#This Row],[Punkte]]/$B$3),1))</f>
        <v>2.9</v>
      </c>
    </row>
    <row r="180" spans="2:3" x14ac:dyDescent="0.25">
      <c r="B180" s="139">
        <v>213</v>
      </c>
      <c r="C180" s="140">
        <f>IF((17/3)-(5*Punkteschnitt_390_tab[[#This Row],[Punkte]]/$B$3)&lt;1,1,TRUNC((17/3)-(5*Punkteschnitt_390_tab[[#This Row],[Punkte]]/$B$3),1))</f>
        <v>2.9</v>
      </c>
    </row>
    <row r="181" spans="2:3" x14ac:dyDescent="0.25">
      <c r="B181" s="139">
        <v>212</v>
      </c>
      <c r="C181" s="140">
        <f>IF((17/3)-(5*Punkteschnitt_390_tab[[#This Row],[Punkte]]/$B$3)&lt;1,1,TRUNC((17/3)-(5*Punkteschnitt_390_tab[[#This Row],[Punkte]]/$B$3),1))</f>
        <v>2.9</v>
      </c>
    </row>
    <row r="182" spans="2:3" x14ac:dyDescent="0.25">
      <c r="B182" s="139">
        <v>211</v>
      </c>
      <c r="C182" s="140">
        <f>IF((17/3)-(5*Punkteschnitt_390_tab[[#This Row],[Punkte]]/$B$3)&lt;1,1,TRUNC((17/3)-(5*Punkteschnitt_390_tab[[#This Row],[Punkte]]/$B$3),1))</f>
        <v>2.9</v>
      </c>
    </row>
    <row r="183" spans="2:3" x14ac:dyDescent="0.25">
      <c r="B183" s="139">
        <v>210</v>
      </c>
      <c r="C183" s="140">
        <f>IF((17/3)-(5*Punkteschnitt_390_tab[[#This Row],[Punkte]]/$B$3)&lt;1,1,TRUNC((17/3)-(5*Punkteschnitt_390_tab[[#This Row],[Punkte]]/$B$3),1))</f>
        <v>2.9</v>
      </c>
    </row>
    <row r="184" spans="2:3" x14ac:dyDescent="0.25">
      <c r="B184" s="139">
        <v>209</v>
      </c>
      <c r="C184" s="140">
        <f>IF((17/3)-(5*Punkteschnitt_390_tab[[#This Row],[Punkte]]/$B$3)&lt;1,1,TRUNC((17/3)-(5*Punkteschnitt_390_tab[[#This Row],[Punkte]]/$B$3),1))</f>
        <v>2.9</v>
      </c>
    </row>
    <row r="185" spans="2:3" x14ac:dyDescent="0.25">
      <c r="B185" s="139">
        <v>208</v>
      </c>
      <c r="C185" s="140">
        <f>IF((17/3)-(5*Punkteschnitt_390_tab[[#This Row],[Punkte]]/$B$3)&lt;1,1,TRUNC((17/3)-(5*Punkteschnitt_390_tab[[#This Row],[Punkte]]/$B$3),1))</f>
        <v>3</v>
      </c>
    </row>
    <row r="186" spans="2:3" x14ac:dyDescent="0.25">
      <c r="B186" s="139">
        <v>207</v>
      </c>
      <c r="C186" s="140">
        <f>IF((17/3)-(5*Punkteschnitt_390_tab[[#This Row],[Punkte]]/$B$3)&lt;1,1,TRUNC((17/3)-(5*Punkteschnitt_390_tab[[#This Row],[Punkte]]/$B$3),1))</f>
        <v>3</v>
      </c>
    </row>
    <row r="187" spans="2:3" x14ac:dyDescent="0.25">
      <c r="B187" s="139">
        <v>206</v>
      </c>
      <c r="C187" s="140">
        <f>IF((17/3)-(5*Punkteschnitt_390_tab[[#This Row],[Punkte]]/$B$3)&lt;1,1,TRUNC((17/3)-(5*Punkteschnitt_390_tab[[#This Row],[Punkte]]/$B$3),1))</f>
        <v>3</v>
      </c>
    </row>
    <row r="188" spans="2:3" x14ac:dyDescent="0.25">
      <c r="B188" s="139">
        <v>205</v>
      </c>
      <c r="C188" s="140">
        <f>IF((17/3)-(5*Punkteschnitt_390_tab[[#This Row],[Punkte]]/$B$3)&lt;1,1,TRUNC((17/3)-(5*Punkteschnitt_390_tab[[#This Row],[Punkte]]/$B$3),1))</f>
        <v>3</v>
      </c>
    </row>
    <row r="189" spans="2:3" x14ac:dyDescent="0.25">
      <c r="B189" s="139">
        <v>204</v>
      </c>
      <c r="C189" s="140">
        <f>IF((17/3)-(5*Punkteschnitt_390_tab[[#This Row],[Punkte]]/$B$3)&lt;1,1,TRUNC((17/3)-(5*Punkteschnitt_390_tab[[#This Row],[Punkte]]/$B$3),1))</f>
        <v>3</v>
      </c>
    </row>
    <row r="190" spans="2:3" x14ac:dyDescent="0.25">
      <c r="B190" s="139">
        <v>203</v>
      </c>
      <c r="C190" s="140">
        <f>IF((17/3)-(5*Punkteschnitt_390_tab[[#This Row],[Punkte]]/$B$3)&lt;1,1,TRUNC((17/3)-(5*Punkteschnitt_390_tab[[#This Row],[Punkte]]/$B$3),1))</f>
        <v>3</v>
      </c>
    </row>
    <row r="191" spans="2:3" x14ac:dyDescent="0.25">
      <c r="B191" s="139">
        <v>202</v>
      </c>
      <c r="C191" s="140">
        <f>IF((17/3)-(5*Punkteschnitt_390_tab[[#This Row],[Punkte]]/$B$3)&lt;1,1,TRUNC((17/3)-(5*Punkteschnitt_390_tab[[#This Row],[Punkte]]/$B$3),1))</f>
        <v>3</v>
      </c>
    </row>
    <row r="192" spans="2:3" x14ac:dyDescent="0.25">
      <c r="B192" s="139">
        <v>201</v>
      </c>
      <c r="C192" s="140">
        <f>IF((17/3)-(5*Punkteschnitt_390_tab[[#This Row],[Punkte]]/$B$3)&lt;1,1,TRUNC((17/3)-(5*Punkteschnitt_390_tab[[#This Row],[Punkte]]/$B$3),1))</f>
        <v>3</v>
      </c>
    </row>
    <row r="193" spans="2:3" x14ac:dyDescent="0.25">
      <c r="B193" s="139">
        <v>200</v>
      </c>
      <c r="C193" s="140">
        <f>IF((17/3)-(5*Punkteschnitt_390_tab[[#This Row],[Punkte]]/$B$3)&lt;1,1,TRUNC((17/3)-(5*Punkteschnitt_390_tab[[#This Row],[Punkte]]/$B$3),1))</f>
        <v>3.1</v>
      </c>
    </row>
    <row r="194" spans="2:3" x14ac:dyDescent="0.25">
      <c r="B194" s="139">
        <v>199</v>
      </c>
      <c r="C194" s="140">
        <f>IF((17/3)-(5*Punkteschnitt_390_tab[[#This Row],[Punkte]]/$B$3)&lt;1,1,TRUNC((17/3)-(5*Punkteschnitt_390_tab[[#This Row],[Punkte]]/$B$3),1))</f>
        <v>3.1</v>
      </c>
    </row>
    <row r="195" spans="2:3" x14ac:dyDescent="0.25">
      <c r="B195" s="139">
        <v>198</v>
      </c>
      <c r="C195" s="140">
        <f>IF((17/3)-(5*Punkteschnitt_390_tab[[#This Row],[Punkte]]/$B$3)&lt;1,1,TRUNC((17/3)-(5*Punkteschnitt_390_tab[[#This Row],[Punkte]]/$B$3),1))</f>
        <v>3.1</v>
      </c>
    </row>
    <row r="196" spans="2:3" x14ac:dyDescent="0.25">
      <c r="B196" s="139">
        <v>197</v>
      </c>
      <c r="C196" s="140">
        <f>IF((17/3)-(5*Punkteschnitt_390_tab[[#This Row],[Punkte]]/$B$3)&lt;1,1,TRUNC((17/3)-(5*Punkteschnitt_390_tab[[#This Row],[Punkte]]/$B$3),1))</f>
        <v>3.1</v>
      </c>
    </row>
    <row r="197" spans="2:3" x14ac:dyDescent="0.25">
      <c r="B197" s="139">
        <v>196</v>
      </c>
      <c r="C197" s="140">
        <f>IF((17/3)-(5*Punkteschnitt_390_tab[[#This Row],[Punkte]]/$B$3)&lt;1,1,TRUNC((17/3)-(5*Punkteschnitt_390_tab[[#This Row],[Punkte]]/$B$3),1))</f>
        <v>3.1</v>
      </c>
    </row>
    <row r="198" spans="2:3" x14ac:dyDescent="0.25">
      <c r="B198" s="139">
        <v>195</v>
      </c>
      <c r="C198" s="140">
        <f>IF((17/3)-(5*Punkteschnitt_390_tab[[#This Row],[Punkte]]/$B$3)&lt;1,1,TRUNC((17/3)-(5*Punkteschnitt_390_tab[[#This Row],[Punkte]]/$B$3),1))</f>
        <v>3.1</v>
      </c>
    </row>
    <row r="199" spans="2:3" x14ac:dyDescent="0.25">
      <c r="B199" s="139">
        <v>194</v>
      </c>
      <c r="C199" s="140">
        <f>IF((17/3)-(5*Punkteschnitt_390_tab[[#This Row],[Punkte]]/$B$3)&lt;1,1,TRUNC((17/3)-(5*Punkteschnitt_390_tab[[#This Row],[Punkte]]/$B$3),1))</f>
        <v>3.1</v>
      </c>
    </row>
    <row r="200" spans="2:3" x14ac:dyDescent="0.25">
      <c r="B200" s="139">
        <v>193</v>
      </c>
      <c r="C200" s="140">
        <f>IF((17/3)-(5*Punkteschnitt_390_tab[[#This Row],[Punkte]]/$B$3)&lt;1,1,TRUNC((17/3)-(5*Punkteschnitt_390_tab[[#This Row],[Punkte]]/$B$3),1))</f>
        <v>3.1</v>
      </c>
    </row>
    <row r="201" spans="2:3" x14ac:dyDescent="0.25">
      <c r="B201" s="139">
        <v>192</v>
      </c>
      <c r="C201" s="140">
        <f>IF((17/3)-(5*Punkteschnitt_390_tab[[#This Row],[Punkte]]/$B$3)&lt;1,1,TRUNC((17/3)-(5*Punkteschnitt_390_tab[[#This Row],[Punkte]]/$B$3),1))</f>
        <v>3.2</v>
      </c>
    </row>
    <row r="202" spans="2:3" x14ac:dyDescent="0.25">
      <c r="B202" s="139">
        <v>191</v>
      </c>
      <c r="C202" s="140">
        <f>IF((17/3)-(5*Punkteschnitt_390_tab[[#This Row],[Punkte]]/$B$3)&lt;1,1,TRUNC((17/3)-(5*Punkteschnitt_390_tab[[#This Row],[Punkte]]/$B$3),1))</f>
        <v>3.2</v>
      </c>
    </row>
    <row r="203" spans="2:3" x14ac:dyDescent="0.25">
      <c r="B203" s="139">
        <v>190</v>
      </c>
      <c r="C203" s="140">
        <f>IF((17/3)-(5*Punkteschnitt_390_tab[[#This Row],[Punkte]]/$B$3)&lt;1,1,TRUNC((17/3)-(5*Punkteschnitt_390_tab[[#This Row],[Punkte]]/$B$3),1))</f>
        <v>3.2</v>
      </c>
    </row>
    <row r="204" spans="2:3" x14ac:dyDescent="0.25">
      <c r="B204" s="139">
        <v>189</v>
      </c>
      <c r="C204" s="140">
        <f>IF((17/3)-(5*Punkteschnitt_390_tab[[#This Row],[Punkte]]/$B$3)&lt;1,1,TRUNC((17/3)-(5*Punkteschnitt_390_tab[[#This Row],[Punkte]]/$B$3),1))</f>
        <v>3.2</v>
      </c>
    </row>
    <row r="205" spans="2:3" x14ac:dyDescent="0.25">
      <c r="B205" s="139">
        <v>188</v>
      </c>
      <c r="C205" s="140">
        <f>IF((17/3)-(5*Punkteschnitt_390_tab[[#This Row],[Punkte]]/$B$3)&lt;1,1,TRUNC((17/3)-(5*Punkteschnitt_390_tab[[#This Row],[Punkte]]/$B$3),1))</f>
        <v>3.2</v>
      </c>
    </row>
    <row r="206" spans="2:3" x14ac:dyDescent="0.25">
      <c r="B206" s="139">
        <v>187</v>
      </c>
      <c r="C206" s="140">
        <f>IF((17/3)-(5*Punkteschnitt_390_tab[[#This Row],[Punkte]]/$B$3)&lt;1,1,TRUNC((17/3)-(5*Punkteschnitt_390_tab[[#This Row],[Punkte]]/$B$3),1))</f>
        <v>3.2</v>
      </c>
    </row>
    <row r="207" spans="2:3" x14ac:dyDescent="0.25">
      <c r="B207" s="139">
        <v>186</v>
      </c>
      <c r="C207" s="140">
        <f>IF((17/3)-(5*Punkteschnitt_390_tab[[#This Row],[Punkte]]/$B$3)&lt;1,1,TRUNC((17/3)-(5*Punkteschnitt_390_tab[[#This Row],[Punkte]]/$B$3),1))</f>
        <v>3.2</v>
      </c>
    </row>
    <row r="208" spans="2:3" x14ac:dyDescent="0.25">
      <c r="B208" s="139">
        <v>185</v>
      </c>
      <c r="C208" s="140">
        <f>IF((17/3)-(5*Punkteschnitt_390_tab[[#This Row],[Punkte]]/$B$3)&lt;1,1,TRUNC((17/3)-(5*Punkteschnitt_390_tab[[#This Row],[Punkte]]/$B$3),1))</f>
        <v>3.2</v>
      </c>
    </row>
    <row r="209" spans="2:3" x14ac:dyDescent="0.25">
      <c r="B209" s="139">
        <v>184</v>
      </c>
      <c r="C209" s="140">
        <f>IF((17/3)-(5*Punkteschnitt_390_tab[[#This Row],[Punkte]]/$B$3)&lt;1,1,TRUNC((17/3)-(5*Punkteschnitt_390_tab[[#This Row],[Punkte]]/$B$3),1))</f>
        <v>3.3</v>
      </c>
    </row>
    <row r="210" spans="2:3" x14ac:dyDescent="0.25">
      <c r="B210" s="139">
        <v>183</v>
      </c>
      <c r="C210" s="140">
        <f>IF((17/3)-(5*Punkteschnitt_390_tab[[#This Row],[Punkte]]/$B$3)&lt;1,1,TRUNC((17/3)-(5*Punkteschnitt_390_tab[[#This Row],[Punkte]]/$B$3),1))</f>
        <v>3.3</v>
      </c>
    </row>
    <row r="211" spans="2:3" x14ac:dyDescent="0.25">
      <c r="B211" s="139">
        <v>182</v>
      </c>
      <c r="C211" s="140">
        <f>IF((17/3)-(5*Punkteschnitt_390_tab[[#This Row],[Punkte]]/$B$3)&lt;1,1,TRUNC((17/3)-(5*Punkteschnitt_390_tab[[#This Row],[Punkte]]/$B$3),1))</f>
        <v>3.3</v>
      </c>
    </row>
    <row r="212" spans="2:3" x14ac:dyDescent="0.25">
      <c r="B212" s="139">
        <v>181</v>
      </c>
      <c r="C212" s="140">
        <f>IF((17/3)-(5*Punkteschnitt_390_tab[[#This Row],[Punkte]]/$B$3)&lt;1,1,TRUNC((17/3)-(5*Punkteschnitt_390_tab[[#This Row],[Punkte]]/$B$3),1))</f>
        <v>3.3</v>
      </c>
    </row>
    <row r="213" spans="2:3" x14ac:dyDescent="0.25">
      <c r="B213" s="139">
        <v>180</v>
      </c>
      <c r="C213" s="140">
        <f>IF((17/3)-(5*Punkteschnitt_390_tab[[#This Row],[Punkte]]/$B$3)&lt;1,1,TRUNC((17/3)-(5*Punkteschnitt_390_tab[[#This Row],[Punkte]]/$B$3),1))</f>
        <v>3.3</v>
      </c>
    </row>
    <row r="214" spans="2:3" x14ac:dyDescent="0.25">
      <c r="B214" s="139">
        <v>179</v>
      </c>
      <c r="C214" s="140">
        <f>IF((17/3)-(5*Punkteschnitt_390_tab[[#This Row],[Punkte]]/$B$3)&lt;1,1,TRUNC((17/3)-(5*Punkteschnitt_390_tab[[#This Row],[Punkte]]/$B$3),1))</f>
        <v>3.3</v>
      </c>
    </row>
    <row r="215" spans="2:3" x14ac:dyDescent="0.25">
      <c r="B215" s="139">
        <v>178</v>
      </c>
      <c r="C215" s="140">
        <f>IF((17/3)-(5*Punkteschnitt_390_tab[[#This Row],[Punkte]]/$B$3)&lt;1,1,TRUNC((17/3)-(5*Punkteschnitt_390_tab[[#This Row],[Punkte]]/$B$3),1))</f>
        <v>3.3</v>
      </c>
    </row>
    <row r="216" spans="2:3" x14ac:dyDescent="0.25">
      <c r="B216" s="139">
        <v>177</v>
      </c>
      <c r="C216" s="140">
        <f>IF((17/3)-(5*Punkteschnitt_390_tab[[#This Row],[Punkte]]/$B$3)&lt;1,1,TRUNC((17/3)-(5*Punkteschnitt_390_tab[[#This Row],[Punkte]]/$B$3),1))</f>
        <v>3.3</v>
      </c>
    </row>
    <row r="217" spans="2:3" x14ac:dyDescent="0.25">
      <c r="B217" s="139">
        <v>176</v>
      </c>
      <c r="C217" s="140">
        <f>IF((17/3)-(5*Punkteschnitt_390_tab[[#This Row],[Punkte]]/$B$3)&lt;1,1,TRUNC((17/3)-(5*Punkteschnitt_390_tab[[#This Row],[Punkte]]/$B$3),1))</f>
        <v>3.4</v>
      </c>
    </row>
    <row r="218" spans="2:3" x14ac:dyDescent="0.25">
      <c r="B218" s="139">
        <v>175</v>
      </c>
      <c r="C218" s="140">
        <f>IF((17/3)-(5*Punkteschnitt_390_tab[[#This Row],[Punkte]]/$B$3)&lt;1,1,TRUNC((17/3)-(5*Punkteschnitt_390_tab[[#This Row],[Punkte]]/$B$3),1))</f>
        <v>3.4</v>
      </c>
    </row>
    <row r="219" spans="2:3" x14ac:dyDescent="0.25">
      <c r="B219" s="139">
        <v>174</v>
      </c>
      <c r="C219" s="140">
        <f>IF((17/3)-(5*Punkteschnitt_390_tab[[#This Row],[Punkte]]/$B$3)&lt;1,1,TRUNC((17/3)-(5*Punkteschnitt_390_tab[[#This Row],[Punkte]]/$B$3),1))</f>
        <v>3.4</v>
      </c>
    </row>
    <row r="220" spans="2:3" x14ac:dyDescent="0.25">
      <c r="B220" s="139">
        <v>173</v>
      </c>
      <c r="C220" s="140">
        <f>IF((17/3)-(5*Punkteschnitt_390_tab[[#This Row],[Punkte]]/$B$3)&lt;1,1,TRUNC((17/3)-(5*Punkteschnitt_390_tab[[#This Row],[Punkte]]/$B$3),1))</f>
        <v>3.4</v>
      </c>
    </row>
    <row r="221" spans="2:3" x14ac:dyDescent="0.25">
      <c r="B221" s="139">
        <v>172</v>
      </c>
      <c r="C221" s="140">
        <f>IF((17/3)-(5*Punkteschnitt_390_tab[[#This Row],[Punkte]]/$B$3)&lt;1,1,TRUNC((17/3)-(5*Punkteschnitt_390_tab[[#This Row],[Punkte]]/$B$3),1))</f>
        <v>3.4</v>
      </c>
    </row>
    <row r="222" spans="2:3" x14ac:dyDescent="0.25">
      <c r="B222" s="139">
        <v>171</v>
      </c>
      <c r="C222" s="140">
        <f>IF((17/3)-(5*Punkteschnitt_390_tab[[#This Row],[Punkte]]/$B$3)&lt;1,1,TRUNC((17/3)-(5*Punkteschnitt_390_tab[[#This Row],[Punkte]]/$B$3),1))</f>
        <v>3.4</v>
      </c>
    </row>
    <row r="223" spans="2:3" x14ac:dyDescent="0.25">
      <c r="B223" s="139">
        <v>170</v>
      </c>
      <c r="C223" s="140">
        <f>IF((17/3)-(5*Punkteschnitt_390_tab[[#This Row],[Punkte]]/$B$3)&lt;1,1,TRUNC((17/3)-(5*Punkteschnitt_390_tab[[#This Row],[Punkte]]/$B$3),1))</f>
        <v>3.4</v>
      </c>
    </row>
    <row r="224" spans="2:3" x14ac:dyDescent="0.25">
      <c r="B224" s="139">
        <v>169</v>
      </c>
      <c r="C224" s="140">
        <f>IF((17/3)-(5*Punkteschnitt_390_tab[[#This Row],[Punkte]]/$B$3)&lt;1,1,TRUNC((17/3)-(5*Punkteschnitt_390_tab[[#This Row],[Punkte]]/$B$3),1))</f>
        <v>3.5</v>
      </c>
    </row>
    <row r="225" spans="2:3" x14ac:dyDescent="0.25">
      <c r="B225" s="139">
        <v>168</v>
      </c>
      <c r="C225" s="140">
        <f>IF((17/3)-(5*Punkteschnitt_390_tab[[#This Row],[Punkte]]/$B$3)&lt;1,1,TRUNC((17/3)-(5*Punkteschnitt_390_tab[[#This Row],[Punkte]]/$B$3),1))</f>
        <v>3.5</v>
      </c>
    </row>
    <row r="226" spans="2:3" x14ac:dyDescent="0.25">
      <c r="B226" s="139">
        <v>167</v>
      </c>
      <c r="C226" s="140">
        <f>IF((17/3)-(5*Punkteschnitt_390_tab[[#This Row],[Punkte]]/$B$3)&lt;1,1,TRUNC((17/3)-(5*Punkteschnitt_390_tab[[#This Row],[Punkte]]/$B$3),1))</f>
        <v>3.5</v>
      </c>
    </row>
    <row r="227" spans="2:3" x14ac:dyDescent="0.25">
      <c r="B227" s="139">
        <v>166</v>
      </c>
      <c r="C227" s="140">
        <f>IF((17/3)-(5*Punkteschnitt_390_tab[[#This Row],[Punkte]]/$B$3)&lt;1,1,TRUNC((17/3)-(5*Punkteschnitt_390_tab[[#This Row],[Punkte]]/$B$3),1))</f>
        <v>3.5</v>
      </c>
    </row>
    <row r="228" spans="2:3" x14ac:dyDescent="0.25">
      <c r="B228" s="139">
        <v>165</v>
      </c>
      <c r="C228" s="140">
        <f>IF((17/3)-(5*Punkteschnitt_390_tab[[#This Row],[Punkte]]/$B$3)&lt;1,1,TRUNC((17/3)-(5*Punkteschnitt_390_tab[[#This Row],[Punkte]]/$B$3),1))</f>
        <v>3.5</v>
      </c>
    </row>
    <row r="229" spans="2:3" x14ac:dyDescent="0.25">
      <c r="B229" s="139">
        <v>164</v>
      </c>
      <c r="C229" s="140">
        <f>IF((17/3)-(5*Punkteschnitt_390_tab[[#This Row],[Punkte]]/$B$3)&lt;1,1,TRUNC((17/3)-(5*Punkteschnitt_390_tab[[#This Row],[Punkte]]/$B$3),1))</f>
        <v>3.5</v>
      </c>
    </row>
    <row r="230" spans="2:3" x14ac:dyDescent="0.25">
      <c r="B230" s="139">
        <v>163</v>
      </c>
      <c r="C230" s="140">
        <f>IF((17/3)-(5*Punkteschnitt_390_tab[[#This Row],[Punkte]]/$B$3)&lt;1,1,TRUNC((17/3)-(5*Punkteschnitt_390_tab[[#This Row],[Punkte]]/$B$3),1))</f>
        <v>3.5</v>
      </c>
    </row>
    <row r="231" spans="2:3" x14ac:dyDescent="0.25">
      <c r="B231" s="139">
        <v>162</v>
      </c>
      <c r="C231" s="140">
        <f>IF((17/3)-(5*Punkteschnitt_390_tab[[#This Row],[Punkte]]/$B$3)&lt;1,1,TRUNC((17/3)-(5*Punkteschnitt_390_tab[[#This Row],[Punkte]]/$B$3),1))</f>
        <v>3.5</v>
      </c>
    </row>
    <row r="232" spans="2:3" x14ac:dyDescent="0.25">
      <c r="B232" s="139">
        <v>161</v>
      </c>
      <c r="C232" s="140">
        <f>IF((17/3)-(5*Punkteschnitt_390_tab[[#This Row],[Punkte]]/$B$3)&lt;1,1,TRUNC((17/3)-(5*Punkteschnitt_390_tab[[#This Row],[Punkte]]/$B$3),1))</f>
        <v>3.6</v>
      </c>
    </row>
    <row r="233" spans="2:3" x14ac:dyDescent="0.25">
      <c r="B233" s="139">
        <v>160</v>
      </c>
      <c r="C233" s="140">
        <f>IF((17/3)-(5*Punkteschnitt_390_tab[[#This Row],[Punkte]]/$B$3)&lt;1,1,TRUNC((17/3)-(5*Punkteschnitt_390_tab[[#This Row],[Punkte]]/$B$3),1))</f>
        <v>3.6</v>
      </c>
    </row>
    <row r="234" spans="2:3" x14ac:dyDescent="0.25">
      <c r="B234" s="139">
        <v>159</v>
      </c>
      <c r="C234" s="140">
        <f>IF((17/3)-(5*Punkteschnitt_390_tab[[#This Row],[Punkte]]/$B$3)&lt;1,1,TRUNC((17/3)-(5*Punkteschnitt_390_tab[[#This Row],[Punkte]]/$B$3),1))</f>
        <v>3.6</v>
      </c>
    </row>
    <row r="235" spans="2:3" x14ac:dyDescent="0.25">
      <c r="B235" s="139">
        <v>158</v>
      </c>
      <c r="C235" s="140">
        <f>IF((17/3)-(5*Punkteschnitt_390_tab[[#This Row],[Punkte]]/$B$3)&lt;1,1,TRUNC((17/3)-(5*Punkteschnitt_390_tab[[#This Row],[Punkte]]/$B$3),1))</f>
        <v>3.6</v>
      </c>
    </row>
    <row r="236" spans="2:3" x14ac:dyDescent="0.25">
      <c r="B236" s="139">
        <v>157</v>
      </c>
      <c r="C236" s="140">
        <f>IF((17/3)-(5*Punkteschnitt_390_tab[[#This Row],[Punkte]]/$B$3)&lt;1,1,TRUNC((17/3)-(5*Punkteschnitt_390_tab[[#This Row],[Punkte]]/$B$3),1))</f>
        <v>3.6</v>
      </c>
    </row>
    <row r="237" spans="2:3" x14ac:dyDescent="0.25">
      <c r="B237" s="139">
        <v>156</v>
      </c>
      <c r="C237" s="140">
        <f>IF((17/3)-(5*Punkteschnitt_390_tab[[#This Row],[Punkte]]/$B$3)&lt;1,1,TRUNC((17/3)-(5*Punkteschnitt_390_tab[[#This Row],[Punkte]]/$B$3),1))</f>
        <v>3.6</v>
      </c>
    </row>
    <row r="238" spans="2:3" x14ac:dyDescent="0.25">
      <c r="B238" s="139">
        <v>155</v>
      </c>
      <c r="C238" s="140">
        <f>IF((17/3)-(5*Punkteschnitt_390_tab[[#This Row],[Punkte]]/$B$3)&lt;1,1,TRUNC((17/3)-(5*Punkteschnitt_390_tab[[#This Row],[Punkte]]/$B$3),1))</f>
        <v>3.6</v>
      </c>
    </row>
    <row r="239" spans="2:3" x14ac:dyDescent="0.25">
      <c r="B239" s="139">
        <v>154</v>
      </c>
      <c r="C239" s="140">
        <f>IF((17/3)-(5*Punkteschnitt_390_tab[[#This Row],[Punkte]]/$B$3)&lt;1,1,TRUNC((17/3)-(5*Punkteschnitt_390_tab[[#This Row],[Punkte]]/$B$3),1))</f>
        <v>3.6</v>
      </c>
    </row>
    <row r="240" spans="2:3" x14ac:dyDescent="0.25">
      <c r="B240" s="139">
        <v>153</v>
      </c>
      <c r="C240" s="140">
        <f>IF((17/3)-(5*Punkteschnitt_390_tab[[#This Row],[Punkte]]/$B$3)&lt;1,1,TRUNC((17/3)-(5*Punkteschnitt_390_tab[[#This Row],[Punkte]]/$B$3),1))</f>
        <v>3.7</v>
      </c>
    </row>
    <row r="241" spans="2:3" x14ac:dyDescent="0.25">
      <c r="B241" s="139">
        <v>152</v>
      </c>
      <c r="C241" s="140">
        <f>IF((17/3)-(5*Punkteschnitt_390_tab[[#This Row],[Punkte]]/$B$3)&lt;1,1,TRUNC((17/3)-(5*Punkteschnitt_390_tab[[#This Row],[Punkte]]/$B$3),1))</f>
        <v>3.7</v>
      </c>
    </row>
    <row r="242" spans="2:3" x14ac:dyDescent="0.25">
      <c r="B242" s="139">
        <v>151</v>
      </c>
      <c r="C242" s="140">
        <f>IF((17/3)-(5*Punkteschnitt_390_tab[[#This Row],[Punkte]]/$B$3)&lt;1,1,TRUNC((17/3)-(5*Punkteschnitt_390_tab[[#This Row],[Punkte]]/$B$3),1))</f>
        <v>3.7</v>
      </c>
    </row>
    <row r="243" spans="2:3" x14ac:dyDescent="0.25">
      <c r="B243" s="139">
        <v>150</v>
      </c>
      <c r="C243" s="140">
        <f>IF((17/3)-(5*Punkteschnitt_390_tab[[#This Row],[Punkte]]/$B$3)&lt;1,1,TRUNC((17/3)-(5*Punkteschnitt_390_tab[[#This Row],[Punkte]]/$B$3),1))</f>
        <v>3.7</v>
      </c>
    </row>
    <row r="244" spans="2:3" x14ac:dyDescent="0.25">
      <c r="B244" s="139">
        <v>149</v>
      </c>
      <c r="C244" s="140">
        <f>IF((17/3)-(5*Punkteschnitt_390_tab[[#This Row],[Punkte]]/$B$3)&lt;1,1,TRUNC((17/3)-(5*Punkteschnitt_390_tab[[#This Row],[Punkte]]/$B$3),1))</f>
        <v>3.7</v>
      </c>
    </row>
    <row r="245" spans="2:3" x14ac:dyDescent="0.25">
      <c r="B245" s="139">
        <v>148</v>
      </c>
      <c r="C245" s="140">
        <f>IF((17/3)-(5*Punkteschnitt_390_tab[[#This Row],[Punkte]]/$B$3)&lt;1,1,TRUNC((17/3)-(5*Punkteschnitt_390_tab[[#This Row],[Punkte]]/$B$3),1))</f>
        <v>3.7</v>
      </c>
    </row>
    <row r="246" spans="2:3" x14ac:dyDescent="0.25">
      <c r="B246" s="139">
        <v>147</v>
      </c>
      <c r="C246" s="140">
        <f>IF((17/3)-(5*Punkteschnitt_390_tab[[#This Row],[Punkte]]/$B$3)&lt;1,1,TRUNC((17/3)-(5*Punkteschnitt_390_tab[[#This Row],[Punkte]]/$B$3),1))</f>
        <v>3.7</v>
      </c>
    </row>
    <row r="247" spans="2:3" x14ac:dyDescent="0.25">
      <c r="B247" s="139">
        <v>146</v>
      </c>
      <c r="C247" s="140">
        <f>IF((17/3)-(5*Punkteschnitt_390_tab[[#This Row],[Punkte]]/$B$3)&lt;1,1,TRUNC((17/3)-(5*Punkteschnitt_390_tab[[#This Row],[Punkte]]/$B$3),1))</f>
        <v>3.7</v>
      </c>
    </row>
    <row r="248" spans="2:3" x14ac:dyDescent="0.25">
      <c r="B248" s="139">
        <v>145</v>
      </c>
      <c r="C248" s="140">
        <f>IF((17/3)-(5*Punkteschnitt_390_tab[[#This Row],[Punkte]]/$B$3)&lt;1,1,TRUNC((17/3)-(5*Punkteschnitt_390_tab[[#This Row],[Punkte]]/$B$3),1))</f>
        <v>3.8</v>
      </c>
    </row>
    <row r="249" spans="2:3" x14ac:dyDescent="0.25">
      <c r="B249" s="139">
        <v>144</v>
      </c>
      <c r="C249" s="140">
        <f>IF((17/3)-(5*Punkteschnitt_390_tab[[#This Row],[Punkte]]/$B$3)&lt;1,1,TRUNC((17/3)-(5*Punkteschnitt_390_tab[[#This Row],[Punkte]]/$B$3),1))</f>
        <v>3.8</v>
      </c>
    </row>
    <row r="250" spans="2:3" x14ac:dyDescent="0.25">
      <c r="B250" s="139">
        <v>143</v>
      </c>
      <c r="C250" s="140">
        <f>IF((17/3)-(5*Punkteschnitt_390_tab[[#This Row],[Punkte]]/$B$3)&lt;1,1,TRUNC((17/3)-(5*Punkteschnitt_390_tab[[#This Row],[Punkte]]/$B$3),1))</f>
        <v>3.8</v>
      </c>
    </row>
    <row r="251" spans="2:3" x14ac:dyDescent="0.25">
      <c r="B251" s="139">
        <v>142</v>
      </c>
      <c r="C251" s="140">
        <f>IF((17/3)-(5*Punkteschnitt_390_tab[[#This Row],[Punkte]]/$B$3)&lt;1,1,TRUNC((17/3)-(5*Punkteschnitt_390_tab[[#This Row],[Punkte]]/$B$3),1))</f>
        <v>3.8</v>
      </c>
    </row>
    <row r="252" spans="2:3" x14ac:dyDescent="0.25">
      <c r="B252" s="139">
        <v>141</v>
      </c>
      <c r="C252" s="140">
        <f>IF((17/3)-(5*Punkteschnitt_390_tab[[#This Row],[Punkte]]/$B$3)&lt;1,1,TRUNC((17/3)-(5*Punkteschnitt_390_tab[[#This Row],[Punkte]]/$B$3),1))</f>
        <v>3.8</v>
      </c>
    </row>
    <row r="253" spans="2:3" x14ac:dyDescent="0.25">
      <c r="B253" s="139">
        <v>140</v>
      </c>
      <c r="C253" s="140">
        <f>IF((17/3)-(5*Punkteschnitt_390_tab[[#This Row],[Punkte]]/$B$3)&lt;1,1,TRUNC((17/3)-(5*Punkteschnitt_390_tab[[#This Row],[Punkte]]/$B$3),1))</f>
        <v>3.8</v>
      </c>
    </row>
    <row r="254" spans="2:3" x14ac:dyDescent="0.25">
      <c r="B254" s="139">
        <v>139</v>
      </c>
      <c r="C254" s="140">
        <f>IF((17/3)-(5*Punkteschnitt_390_tab[[#This Row],[Punkte]]/$B$3)&lt;1,1,TRUNC((17/3)-(5*Punkteschnitt_390_tab[[#This Row],[Punkte]]/$B$3),1))</f>
        <v>3.8</v>
      </c>
    </row>
    <row r="255" spans="2:3" x14ac:dyDescent="0.25">
      <c r="B255" s="139">
        <v>138</v>
      </c>
      <c r="C255" s="140">
        <f>IF((17/3)-(5*Punkteschnitt_390_tab[[#This Row],[Punkte]]/$B$3)&lt;1,1,TRUNC((17/3)-(5*Punkteschnitt_390_tab[[#This Row],[Punkte]]/$B$3),1))</f>
        <v>3.8</v>
      </c>
    </row>
    <row r="256" spans="2:3" x14ac:dyDescent="0.25">
      <c r="B256" s="139">
        <v>137</v>
      </c>
      <c r="C256" s="140">
        <f>IF((17/3)-(5*Punkteschnitt_390_tab[[#This Row],[Punkte]]/$B$3)&lt;1,1,TRUNC((17/3)-(5*Punkteschnitt_390_tab[[#This Row],[Punkte]]/$B$3),1))</f>
        <v>3.9</v>
      </c>
    </row>
    <row r="257" spans="2:3" x14ac:dyDescent="0.25">
      <c r="B257" s="139">
        <v>136</v>
      </c>
      <c r="C257" s="140">
        <f>IF((17/3)-(5*Punkteschnitt_390_tab[[#This Row],[Punkte]]/$B$3)&lt;1,1,TRUNC((17/3)-(5*Punkteschnitt_390_tab[[#This Row],[Punkte]]/$B$3),1))</f>
        <v>3.9</v>
      </c>
    </row>
    <row r="258" spans="2:3" x14ac:dyDescent="0.25">
      <c r="B258" s="139">
        <v>135</v>
      </c>
      <c r="C258" s="140">
        <f>IF((17/3)-(5*Punkteschnitt_390_tab[[#This Row],[Punkte]]/$B$3)&lt;1,1,TRUNC((17/3)-(5*Punkteschnitt_390_tab[[#This Row],[Punkte]]/$B$3),1))</f>
        <v>3.9</v>
      </c>
    </row>
    <row r="259" spans="2:3" x14ac:dyDescent="0.25">
      <c r="B259" s="139">
        <v>134</v>
      </c>
      <c r="C259" s="140">
        <f>IF((17/3)-(5*Punkteschnitt_390_tab[[#This Row],[Punkte]]/$B$3)&lt;1,1,TRUNC((17/3)-(5*Punkteschnitt_390_tab[[#This Row],[Punkte]]/$B$3),1))</f>
        <v>3.9</v>
      </c>
    </row>
    <row r="260" spans="2:3" x14ac:dyDescent="0.25">
      <c r="B260" s="139">
        <v>133</v>
      </c>
      <c r="C260" s="140">
        <f>IF((17/3)-(5*Punkteschnitt_390_tab[[#This Row],[Punkte]]/$B$3)&lt;1,1,TRUNC((17/3)-(5*Punkteschnitt_390_tab[[#This Row],[Punkte]]/$B$3),1))</f>
        <v>3.9</v>
      </c>
    </row>
    <row r="261" spans="2:3" x14ac:dyDescent="0.25">
      <c r="B261" s="139">
        <v>132</v>
      </c>
      <c r="C261" s="140">
        <f>IF((17/3)-(5*Punkteschnitt_390_tab[[#This Row],[Punkte]]/$B$3)&lt;1,1,TRUNC((17/3)-(5*Punkteschnitt_390_tab[[#This Row],[Punkte]]/$B$3),1))</f>
        <v>3.9</v>
      </c>
    </row>
    <row r="262" spans="2:3" x14ac:dyDescent="0.25">
      <c r="B262" s="139">
        <v>131</v>
      </c>
      <c r="C262" s="140">
        <f>IF((17/3)-(5*Punkteschnitt_390_tab[[#This Row],[Punkte]]/$B$3)&lt;1,1,TRUNC((17/3)-(5*Punkteschnitt_390_tab[[#This Row],[Punkte]]/$B$3),1))</f>
        <v>3.9</v>
      </c>
    </row>
    <row r="263" spans="2:3" x14ac:dyDescent="0.25">
      <c r="B263" s="139">
        <v>130</v>
      </c>
      <c r="C263" s="140">
        <f>IF((17/3)-(5*Punkteschnitt_390_tab[[#This Row],[Punkte]]/$B$3)&lt;1,1,TRUNC((17/3)-(5*Punkteschnitt_390_tab[[#This Row],[Punkte]]/$B$3),1))</f>
        <v>4</v>
      </c>
    </row>
    <row r="264" spans="2:3" x14ac:dyDescent="0.25">
      <c r="B264" s="139">
        <v>129</v>
      </c>
      <c r="C264" s="140">
        <f>IF((17/3)-(5*Punkteschnitt_390_tab[[#This Row],[Punkte]]/$B$3)&lt;1,1,TRUNC((17/3)-(5*Punkteschnitt_390_tab[[#This Row],[Punkte]]/$B$3),1))</f>
        <v>4</v>
      </c>
    </row>
    <row r="265" spans="2:3" x14ac:dyDescent="0.25">
      <c r="B265" s="139">
        <v>128</v>
      </c>
      <c r="C265" s="140">
        <f>IF((17/3)-(5*Punkteschnitt_390_tab[[#This Row],[Punkte]]/$B$3)&lt;1,1,TRUNC((17/3)-(5*Punkteschnitt_390_tab[[#This Row],[Punkte]]/$B$3),1))</f>
        <v>4</v>
      </c>
    </row>
    <row r="266" spans="2:3" x14ac:dyDescent="0.25">
      <c r="B266" s="139">
        <v>127</v>
      </c>
      <c r="C266" s="140">
        <f>IF((17/3)-(5*Punkteschnitt_390_tab[[#This Row],[Punkte]]/$B$3)&lt;1,1,TRUNC((17/3)-(5*Punkteschnitt_390_tab[[#This Row],[Punkte]]/$B$3),1))</f>
        <v>4</v>
      </c>
    </row>
    <row r="267" spans="2:3" x14ac:dyDescent="0.25">
      <c r="B267" s="139">
        <v>126</v>
      </c>
      <c r="C267" s="140">
        <f>IF((17/3)-(5*Punkteschnitt_390_tab[[#This Row],[Punkte]]/$B$3)&lt;1,1,TRUNC((17/3)-(5*Punkteschnitt_390_tab[[#This Row],[Punkte]]/$B$3),1))</f>
        <v>4</v>
      </c>
    </row>
    <row r="268" spans="2:3" x14ac:dyDescent="0.25">
      <c r="B268" s="139">
        <v>125</v>
      </c>
      <c r="C268" s="140">
        <f>IF((17/3)-(5*Punkteschnitt_390_tab[[#This Row],[Punkte]]/$B$3)&lt;1,1,TRUNC((17/3)-(5*Punkteschnitt_390_tab[[#This Row],[Punkte]]/$B$3),1))</f>
        <v>4</v>
      </c>
    </row>
    <row r="269" spans="2:3" x14ac:dyDescent="0.25">
      <c r="B269" s="139">
        <v>124</v>
      </c>
      <c r="C269" s="140">
        <f>IF((17/3)-(5*Punkteschnitt_390_tab[[#This Row],[Punkte]]/$B$3)&lt;1,1,TRUNC((17/3)-(5*Punkteschnitt_390_tab[[#This Row],[Punkte]]/$B$3),1))</f>
        <v>4</v>
      </c>
    </row>
    <row r="270" spans="2:3" x14ac:dyDescent="0.25">
      <c r="B270" s="139">
        <v>123</v>
      </c>
      <c r="C270" s="140">
        <f>IF((17/3)-(5*Punkteschnitt_390_tab[[#This Row],[Punkte]]/$B$3)&lt;1,1,TRUNC((17/3)-(5*Punkteschnitt_390_tab[[#This Row],[Punkte]]/$B$3),1))</f>
        <v>4</v>
      </c>
    </row>
    <row r="271" spans="2:3" x14ac:dyDescent="0.25">
      <c r="B271" s="139">
        <v>122</v>
      </c>
      <c r="C271" s="140">
        <f>IF((17/3)-(5*Punkteschnitt_390_tab[[#This Row],[Punkte]]/$B$3)&lt;1,1,TRUNC((17/3)-(5*Punkteschnitt_390_tab[[#This Row],[Punkte]]/$B$3),1))</f>
        <v>4.0999999999999996</v>
      </c>
    </row>
    <row r="272" spans="2:3" x14ac:dyDescent="0.25">
      <c r="B272" s="139">
        <v>121</v>
      </c>
      <c r="C272" s="140">
        <f>IF((17/3)-(5*Punkteschnitt_390_tab[[#This Row],[Punkte]]/$B$3)&lt;1,1,TRUNC((17/3)-(5*Punkteschnitt_390_tab[[#This Row],[Punkte]]/$B$3),1))</f>
        <v>4.0999999999999996</v>
      </c>
    </row>
    <row r="273" spans="2:3" x14ac:dyDescent="0.25">
      <c r="B273" s="139">
        <v>120</v>
      </c>
      <c r="C273" s="140">
        <f>IF((17/3)-(5*Punkteschnitt_390_tab[[#This Row],[Punkte]]/$B$3)&lt;1,1,TRUNC((17/3)-(5*Punkteschnitt_390_tab[[#This Row],[Punkte]]/$B$3),1))</f>
        <v>4.0999999999999996</v>
      </c>
    </row>
    <row r="274" spans="2:3" x14ac:dyDescent="0.25">
      <c r="B274" s="139">
        <v>119</v>
      </c>
      <c r="C274" s="140">
        <f>IF((17/3)-(5*Punkteschnitt_390_tab[[#This Row],[Punkte]]/$B$3)&lt;1,1,TRUNC((17/3)-(5*Punkteschnitt_390_tab[[#This Row],[Punkte]]/$B$3),1))</f>
        <v>4.0999999999999996</v>
      </c>
    </row>
    <row r="275" spans="2:3" x14ac:dyDescent="0.25">
      <c r="B275" s="139">
        <v>118</v>
      </c>
      <c r="C275" s="140">
        <f>IF((17/3)-(5*Punkteschnitt_390_tab[[#This Row],[Punkte]]/$B$3)&lt;1,1,TRUNC((17/3)-(5*Punkteschnitt_390_tab[[#This Row],[Punkte]]/$B$3),1))</f>
        <v>4.0999999999999996</v>
      </c>
    </row>
    <row r="276" spans="2:3" x14ac:dyDescent="0.25">
      <c r="B276" s="139">
        <v>117</v>
      </c>
      <c r="C276" s="140">
        <f>IF((17/3)-(5*Punkteschnitt_390_tab[[#This Row],[Punkte]]/$B$3)&lt;1,1,TRUNC((17/3)-(5*Punkteschnitt_390_tab[[#This Row],[Punkte]]/$B$3),1))</f>
        <v>4.0999999999999996</v>
      </c>
    </row>
    <row r="277" spans="2:3" x14ac:dyDescent="0.25">
      <c r="B277" s="139">
        <v>116</v>
      </c>
      <c r="C277" s="140">
        <f>IF((17/3)-(5*Punkteschnitt_390_tab[[#This Row],[Punkte]]/$B$3)&lt;1,1,TRUNC((17/3)-(5*Punkteschnitt_390_tab[[#This Row],[Punkte]]/$B$3),1))</f>
        <v>4.0999999999999996</v>
      </c>
    </row>
    <row r="278" spans="2:3" x14ac:dyDescent="0.25">
      <c r="B278" s="139">
        <v>115</v>
      </c>
      <c r="C278" s="140">
        <f>IF((17/3)-(5*Punkteschnitt_390_tab[[#This Row],[Punkte]]/$B$3)&lt;1,1,TRUNC((17/3)-(5*Punkteschnitt_390_tab[[#This Row],[Punkte]]/$B$3),1))</f>
        <v>4.0999999999999996</v>
      </c>
    </row>
    <row r="279" spans="2:3" x14ac:dyDescent="0.25">
      <c r="B279" s="139">
        <v>114</v>
      </c>
      <c r="C279" s="140">
        <f>IF((17/3)-(5*Punkteschnitt_390_tab[[#This Row],[Punkte]]/$B$3)&lt;1,1,TRUNC((17/3)-(5*Punkteschnitt_390_tab[[#This Row],[Punkte]]/$B$3),1))</f>
        <v>4.2</v>
      </c>
    </row>
    <row r="280" spans="2:3" x14ac:dyDescent="0.25">
      <c r="B280" s="139">
        <v>113</v>
      </c>
      <c r="C280" s="140">
        <f>IF((17/3)-(5*Punkteschnitt_390_tab[[#This Row],[Punkte]]/$B$3)&lt;1,1,TRUNC((17/3)-(5*Punkteschnitt_390_tab[[#This Row],[Punkte]]/$B$3),1))</f>
        <v>4.2</v>
      </c>
    </row>
    <row r="281" spans="2:3" x14ac:dyDescent="0.25">
      <c r="B281" s="139">
        <v>112</v>
      </c>
      <c r="C281" s="140">
        <f>IF((17/3)-(5*Punkteschnitt_390_tab[[#This Row],[Punkte]]/$B$3)&lt;1,1,TRUNC((17/3)-(5*Punkteschnitt_390_tab[[#This Row],[Punkte]]/$B$3),1))</f>
        <v>4.2</v>
      </c>
    </row>
    <row r="282" spans="2:3" x14ac:dyDescent="0.25">
      <c r="B282" s="139">
        <v>111</v>
      </c>
      <c r="C282" s="140">
        <f>IF((17/3)-(5*Punkteschnitt_390_tab[[#This Row],[Punkte]]/$B$3)&lt;1,1,TRUNC((17/3)-(5*Punkteschnitt_390_tab[[#This Row],[Punkte]]/$B$3),1))</f>
        <v>4.2</v>
      </c>
    </row>
    <row r="283" spans="2:3" x14ac:dyDescent="0.25">
      <c r="B283" s="139">
        <v>110</v>
      </c>
      <c r="C283" s="140">
        <f>IF((17/3)-(5*Punkteschnitt_390_tab[[#This Row],[Punkte]]/$B$3)&lt;1,1,TRUNC((17/3)-(5*Punkteschnitt_390_tab[[#This Row],[Punkte]]/$B$3),1))</f>
        <v>4.2</v>
      </c>
    </row>
    <row r="284" spans="2:3" x14ac:dyDescent="0.25">
      <c r="B284" s="139">
        <v>109</v>
      </c>
      <c r="C284" s="140">
        <f>IF((17/3)-(5*Punkteschnitt_390_tab[[#This Row],[Punkte]]/$B$3)&lt;1,1,TRUNC((17/3)-(5*Punkteschnitt_390_tab[[#This Row],[Punkte]]/$B$3),1))</f>
        <v>4.2</v>
      </c>
    </row>
    <row r="285" spans="2:3" x14ac:dyDescent="0.25">
      <c r="B285" s="139">
        <v>108</v>
      </c>
      <c r="C285" s="140">
        <f>IF((17/3)-(5*Punkteschnitt_390_tab[[#This Row],[Punkte]]/$B$3)&lt;1,1,TRUNC((17/3)-(5*Punkteschnitt_390_tab[[#This Row],[Punkte]]/$B$3),1))</f>
        <v>4.2</v>
      </c>
    </row>
    <row r="286" spans="2:3" x14ac:dyDescent="0.25">
      <c r="B286" s="139">
        <v>107</v>
      </c>
      <c r="C286" s="140">
        <f>IF((17/3)-(5*Punkteschnitt_390_tab[[#This Row],[Punkte]]/$B$3)&lt;1,1,TRUNC((17/3)-(5*Punkteschnitt_390_tab[[#This Row],[Punkte]]/$B$3),1))</f>
        <v>4.2</v>
      </c>
    </row>
    <row r="287" spans="2:3" x14ac:dyDescent="0.25">
      <c r="B287" s="139">
        <v>106</v>
      </c>
      <c r="C287" s="140">
        <f>IF((17/3)-(5*Punkteschnitt_390_tab[[#This Row],[Punkte]]/$B$3)&lt;1,1,TRUNC((17/3)-(5*Punkteschnitt_390_tab[[#This Row],[Punkte]]/$B$3),1))</f>
        <v>4.3</v>
      </c>
    </row>
    <row r="288" spans="2:3" x14ac:dyDescent="0.25">
      <c r="B288" s="139">
        <v>105</v>
      </c>
      <c r="C288" s="140">
        <f>IF((17/3)-(5*Punkteschnitt_390_tab[[#This Row],[Punkte]]/$B$3)&lt;1,1,TRUNC((17/3)-(5*Punkteschnitt_390_tab[[#This Row],[Punkte]]/$B$3),1))</f>
        <v>4.3</v>
      </c>
    </row>
    <row r="289" spans="2:3" x14ac:dyDescent="0.25">
      <c r="B289" s="139">
        <v>104</v>
      </c>
      <c r="C289" s="140">
        <f>IF((17/3)-(5*Punkteschnitt_390_tab[[#This Row],[Punkte]]/$B$3)&lt;1,1,TRUNC((17/3)-(5*Punkteschnitt_390_tab[[#This Row],[Punkte]]/$B$3),1))</f>
        <v>4.3</v>
      </c>
    </row>
    <row r="290" spans="2:3" x14ac:dyDescent="0.25">
      <c r="B290" s="139">
        <v>103</v>
      </c>
      <c r="C290" s="140">
        <f>IF((17/3)-(5*Punkteschnitt_390_tab[[#This Row],[Punkte]]/$B$3)&lt;1,1,TRUNC((17/3)-(5*Punkteschnitt_390_tab[[#This Row],[Punkte]]/$B$3),1))</f>
        <v>4.3</v>
      </c>
    </row>
    <row r="291" spans="2:3" x14ac:dyDescent="0.25">
      <c r="B291" s="139">
        <v>102</v>
      </c>
      <c r="C291" s="140">
        <f>IF((17/3)-(5*Punkteschnitt_390_tab[[#This Row],[Punkte]]/$B$3)&lt;1,1,TRUNC((17/3)-(5*Punkteschnitt_390_tab[[#This Row],[Punkte]]/$B$3),1))</f>
        <v>4.3</v>
      </c>
    </row>
    <row r="292" spans="2:3" x14ac:dyDescent="0.25">
      <c r="B292" s="139">
        <v>101</v>
      </c>
      <c r="C292" s="140">
        <f>IF((17/3)-(5*Punkteschnitt_390_tab[[#This Row],[Punkte]]/$B$3)&lt;1,1,TRUNC((17/3)-(5*Punkteschnitt_390_tab[[#This Row],[Punkte]]/$B$3),1))</f>
        <v>4.3</v>
      </c>
    </row>
    <row r="293" spans="2:3" x14ac:dyDescent="0.25">
      <c r="B293" s="139">
        <v>100</v>
      </c>
      <c r="C293" s="140">
        <f>IF((17/3)-(5*Punkteschnitt_390_tab[[#This Row],[Punkte]]/$B$3)&lt;1,1,TRUNC((17/3)-(5*Punkteschnitt_390_tab[[#This Row],[Punkte]]/$B$3),1))</f>
        <v>4.3</v>
      </c>
    </row>
    <row r="294" spans="2:3" x14ac:dyDescent="0.25">
      <c r="B294" s="139">
        <v>99</v>
      </c>
      <c r="C294" s="140">
        <f>IF((17/3)-(5*Punkteschnitt_390_tab[[#This Row],[Punkte]]/$B$3)&lt;1,1,TRUNC((17/3)-(5*Punkteschnitt_390_tab[[#This Row],[Punkte]]/$B$3),1))</f>
        <v>4.3</v>
      </c>
    </row>
    <row r="295" spans="2:3" x14ac:dyDescent="0.25">
      <c r="B295" s="139">
        <v>98</v>
      </c>
      <c r="C295" s="140">
        <f>IF((17/3)-(5*Punkteschnitt_390_tab[[#This Row],[Punkte]]/$B$3)&lt;1,1,TRUNC((17/3)-(5*Punkteschnitt_390_tab[[#This Row],[Punkte]]/$B$3),1))</f>
        <v>4.4000000000000004</v>
      </c>
    </row>
    <row r="296" spans="2:3" x14ac:dyDescent="0.25">
      <c r="B296" s="139">
        <v>97</v>
      </c>
      <c r="C296" s="140">
        <f>IF((17/3)-(5*Punkteschnitt_390_tab[[#This Row],[Punkte]]/$B$3)&lt;1,1,TRUNC((17/3)-(5*Punkteschnitt_390_tab[[#This Row],[Punkte]]/$B$3),1))</f>
        <v>4.4000000000000004</v>
      </c>
    </row>
    <row r="297" spans="2:3" x14ac:dyDescent="0.25">
      <c r="B297" s="139">
        <v>96</v>
      </c>
      <c r="C297" s="140">
        <f>IF((17/3)-(5*Punkteschnitt_390_tab[[#This Row],[Punkte]]/$B$3)&lt;1,1,TRUNC((17/3)-(5*Punkteschnitt_390_tab[[#This Row],[Punkte]]/$B$3),1))</f>
        <v>4.4000000000000004</v>
      </c>
    </row>
    <row r="298" spans="2:3" x14ac:dyDescent="0.25">
      <c r="B298" s="139">
        <v>95</v>
      </c>
      <c r="C298" s="140">
        <f>IF((17/3)-(5*Punkteschnitt_390_tab[[#This Row],[Punkte]]/$B$3)&lt;1,1,TRUNC((17/3)-(5*Punkteschnitt_390_tab[[#This Row],[Punkte]]/$B$3),1))</f>
        <v>4.4000000000000004</v>
      </c>
    </row>
    <row r="299" spans="2:3" x14ac:dyDescent="0.25">
      <c r="B299" s="139">
        <v>94</v>
      </c>
      <c r="C299" s="140">
        <f>IF((17/3)-(5*Punkteschnitt_390_tab[[#This Row],[Punkte]]/$B$3)&lt;1,1,TRUNC((17/3)-(5*Punkteschnitt_390_tab[[#This Row],[Punkte]]/$B$3),1))</f>
        <v>4.4000000000000004</v>
      </c>
    </row>
    <row r="300" spans="2:3" x14ac:dyDescent="0.25">
      <c r="B300" s="139">
        <v>93</v>
      </c>
      <c r="C300" s="140">
        <f>IF((17/3)-(5*Punkteschnitt_390_tab[[#This Row],[Punkte]]/$B$3)&lt;1,1,TRUNC((17/3)-(5*Punkteschnitt_390_tab[[#This Row],[Punkte]]/$B$3),1))</f>
        <v>4.4000000000000004</v>
      </c>
    </row>
    <row r="301" spans="2:3" x14ac:dyDescent="0.25">
      <c r="B301" s="139">
        <v>92</v>
      </c>
      <c r="C301" s="140">
        <f>IF((17/3)-(5*Punkteschnitt_390_tab[[#This Row],[Punkte]]/$B$3)&lt;1,1,TRUNC((17/3)-(5*Punkteschnitt_390_tab[[#This Row],[Punkte]]/$B$3),1))</f>
        <v>4.4000000000000004</v>
      </c>
    </row>
    <row r="302" spans="2:3" x14ac:dyDescent="0.25">
      <c r="B302" s="139">
        <v>91</v>
      </c>
      <c r="C302" s="140">
        <f>IF((17/3)-(5*Punkteschnitt_390_tab[[#This Row],[Punkte]]/$B$3)&lt;1,1,TRUNC((17/3)-(5*Punkteschnitt_390_tab[[#This Row],[Punkte]]/$B$3),1))</f>
        <v>4.5</v>
      </c>
    </row>
    <row r="303" spans="2:3" x14ac:dyDescent="0.25">
      <c r="B303" s="139">
        <v>90</v>
      </c>
      <c r="C303" s="140">
        <f>IF((17/3)-(5*Punkteschnitt_390_tab[[#This Row],[Punkte]]/$B$3)&lt;1,1,TRUNC((17/3)-(5*Punkteschnitt_390_tab[[#This Row],[Punkte]]/$B$3),1))</f>
        <v>4.5</v>
      </c>
    </row>
    <row r="304" spans="2:3" x14ac:dyDescent="0.25">
      <c r="B304" s="139">
        <v>89</v>
      </c>
      <c r="C304" s="140">
        <f>IF((17/3)-(5*Punkteschnitt_390_tab[[#This Row],[Punkte]]/$B$3)&lt;1,1,TRUNC((17/3)-(5*Punkteschnitt_390_tab[[#This Row],[Punkte]]/$B$3),1))</f>
        <v>4.5</v>
      </c>
    </row>
    <row r="305" spans="2:3" x14ac:dyDescent="0.25">
      <c r="B305" s="139">
        <v>88</v>
      </c>
      <c r="C305" s="140">
        <f>IF((17/3)-(5*Punkteschnitt_390_tab[[#This Row],[Punkte]]/$B$3)&lt;1,1,TRUNC((17/3)-(5*Punkteschnitt_390_tab[[#This Row],[Punkte]]/$B$3),1))</f>
        <v>4.5</v>
      </c>
    </row>
    <row r="306" spans="2:3" x14ac:dyDescent="0.25">
      <c r="B306" s="139">
        <v>87</v>
      </c>
      <c r="C306" s="140">
        <f>IF((17/3)-(5*Punkteschnitt_390_tab[[#This Row],[Punkte]]/$B$3)&lt;1,1,TRUNC((17/3)-(5*Punkteschnitt_390_tab[[#This Row],[Punkte]]/$B$3),1))</f>
        <v>4.5</v>
      </c>
    </row>
    <row r="307" spans="2:3" x14ac:dyDescent="0.25">
      <c r="B307" s="139">
        <v>86</v>
      </c>
      <c r="C307" s="140">
        <f>IF((17/3)-(5*Punkteschnitt_390_tab[[#This Row],[Punkte]]/$B$3)&lt;1,1,TRUNC((17/3)-(5*Punkteschnitt_390_tab[[#This Row],[Punkte]]/$B$3),1))</f>
        <v>4.5</v>
      </c>
    </row>
    <row r="308" spans="2:3" x14ac:dyDescent="0.25">
      <c r="B308" s="139">
        <v>85</v>
      </c>
      <c r="C308" s="140">
        <f>IF((17/3)-(5*Punkteschnitt_390_tab[[#This Row],[Punkte]]/$B$3)&lt;1,1,TRUNC((17/3)-(5*Punkteschnitt_390_tab[[#This Row],[Punkte]]/$B$3),1))</f>
        <v>4.5</v>
      </c>
    </row>
    <row r="309" spans="2:3" x14ac:dyDescent="0.25">
      <c r="B309" s="139">
        <v>84</v>
      </c>
      <c r="C309" s="140">
        <f>IF((17/3)-(5*Punkteschnitt_390_tab[[#This Row],[Punkte]]/$B$3)&lt;1,1,TRUNC((17/3)-(5*Punkteschnitt_390_tab[[#This Row],[Punkte]]/$B$3),1))</f>
        <v>4.5</v>
      </c>
    </row>
    <row r="310" spans="2:3" x14ac:dyDescent="0.25">
      <c r="B310" s="139">
        <v>83</v>
      </c>
      <c r="C310" s="140">
        <f>IF((17/3)-(5*Punkteschnitt_390_tab[[#This Row],[Punkte]]/$B$3)&lt;1,1,TRUNC((17/3)-(5*Punkteschnitt_390_tab[[#This Row],[Punkte]]/$B$3),1))</f>
        <v>4.5999999999999996</v>
      </c>
    </row>
    <row r="311" spans="2:3" x14ac:dyDescent="0.25">
      <c r="B311" s="139">
        <v>82</v>
      </c>
      <c r="C311" s="140">
        <f>IF((17/3)-(5*Punkteschnitt_390_tab[[#This Row],[Punkte]]/$B$3)&lt;1,1,TRUNC((17/3)-(5*Punkteschnitt_390_tab[[#This Row],[Punkte]]/$B$3),1))</f>
        <v>4.5999999999999996</v>
      </c>
    </row>
    <row r="312" spans="2:3" x14ac:dyDescent="0.25">
      <c r="B312" s="139">
        <v>81</v>
      </c>
      <c r="C312" s="140">
        <f>IF((17/3)-(5*Punkteschnitt_390_tab[[#This Row],[Punkte]]/$B$3)&lt;1,1,TRUNC((17/3)-(5*Punkteschnitt_390_tab[[#This Row],[Punkte]]/$B$3),1))</f>
        <v>4.5999999999999996</v>
      </c>
    </row>
    <row r="313" spans="2:3" x14ac:dyDescent="0.25">
      <c r="B313" s="139">
        <v>80</v>
      </c>
      <c r="C313" s="140">
        <f>IF((17/3)-(5*Punkteschnitt_390_tab[[#This Row],[Punkte]]/$B$3)&lt;1,1,TRUNC((17/3)-(5*Punkteschnitt_390_tab[[#This Row],[Punkte]]/$B$3),1))</f>
        <v>4.5999999999999996</v>
      </c>
    </row>
    <row r="314" spans="2:3" x14ac:dyDescent="0.25">
      <c r="B314" s="139">
        <v>79</v>
      </c>
      <c r="C314" s="140">
        <f>IF((17/3)-(5*Punkteschnitt_390_tab[[#This Row],[Punkte]]/$B$3)&lt;1,1,TRUNC((17/3)-(5*Punkteschnitt_390_tab[[#This Row],[Punkte]]/$B$3),1))</f>
        <v>4.5999999999999996</v>
      </c>
    </row>
    <row r="315" spans="2:3" x14ac:dyDescent="0.25">
      <c r="B315" s="139">
        <v>78</v>
      </c>
      <c r="C315" s="140">
        <f>IF((17/3)-(5*Punkteschnitt_390_tab[[#This Row],[Punkte]]/$B$3)&lt;1,1,TRUNC((17/3)-(5*Punkteschnitt_390_tab[[#This Row],[Punkte]]/$B$3),1))</f>
        <v>4.5999999999999996</v>
      </c>
    </row>
    <row r="316" spans="2:3" x14ac:dyDescent="0.25">
      <c r="B316" s="139">
        <v>77</v>
      </c>
      <c r="C316" s="140">
        <f>IF((17/3)-(5*Punkteschnitt_390_tab[[#This Row],[Punkte]]/$B$3)&lt;1,1,TRUNC((17/3)-(5*Punkteschnitt_390_tab[[#This Row],[Punkte]]/$B$3),1))</f>
        <v>4.5999999999999996</v>
      </c>
    </row>
    <row r="317" spans="2:3" x14ac:dyDescent="0.25">
      <c r="B317" s="139">
        <v>76</v>
      </c>
      <c r="C317" s="140">
        <f>IF((17/3)-(5*Punkteschnitt_390_tab[[#This Row],[Punkte]]/$B$3)&lt;1,1,TRUNC((17/3)-(5*Punkteschnitt_390_tab[[#This Row],[Punkte]]/$B$3),1))</f>
        <v>4.5999999999999996</v>
      </c>
    </row>
    <row r="318" spans="2:3" x14ac:dyDescent="0.25">
      <c r="B318" s="139">
        <v>75</v>
      </c>
      <c r="C318" s="140">
        <f>IF((17/3)-(5*Punkteschnitt_390_tab[[#This Row],[Punkte]]/$B$3)&lt;1,1,TRUNC((17/3)-(5*Punkteschnitt_390_tab[[#This Row],[Punkte]]/$B$3),1))</f>
        <v>4.7</v>
      </c>
    </row>
    <row r="319" spans="2:3" x14ac:dyDescent="0.25">
      <c r="B319" s="139">
        <v>74</v>
      </c>
      <c r="C319" s="140">
        <f>IF((17/3)-(5*Punkteschnitt_390_tab[[#This Row],[Punkte]]/$B$3)&lt;1,1,TRUNC((17/3)-(5*Punkteschnitt_390_tab[[#This Row],[Punkte]]/$B$3),1))</f>
        <v>4.7</v>
      </c>
    </row>
    <row r="320" spans="2:3" x14ac:dyDescent="0.25">
      <c r="B320" s="139">
        <v>73</v>
      </c>
      <c r="C320" s="140">
        <f>IF((17/3)-(5*Punkteschnitt_390_tab[[#This Row],[Punkte]]/$B$3)&lt;1,1,TRUNC((17/3)-(5*Punkteschnitt_390_tab[[#This Row],[Punkte]]/$B$3),1))</f>
        <v>4.7</v>
      </c>
    </row>
    <row r="321" spans="2:3" x14ac:dyDescent="0.25">
      <c r="B321" s="139">
        <v>72</v>
      </c>
      <c r="C321" s="140">
        <f>IF((17/3)-(5*Punkteschnitt_390_tab[[#This Row],[Punkte]]/$B$3)&lt;1,1,TRUNC((17/3)-(5*Punkteschnitt_390_tab[[#This Row],[Punkte]]/$B$3),1))</f>
        <v>4.7</v>
      </c>
    </row>
    <row r="322" spans="2:3" x14ac:dyDescent="0.25">
      <c r="B322" s="139">
        <v>71</v>
      </c>
      <c r="C322" s="140">
        <f>IF((17/3)-(5*Punkteschnitt_390_tab[[#This Row],[Punkte]]/$B$3)&lt;1,1,TRUNC((17/3)-(5*Punkteschnitt_390_tab[[#This Row],[Punkte]]/$B$3),1))</f>
        <v>4.7</v>
      </c>
    </row>
    <row r="323" spans="2:3" x14ac:dyDescent="0.25">
      <c r="B323" s="139">
        <v>70</v>
      </c>
      <c r="C323" s="140">
        <f>IF((17/3)-(5*Punkteschnitt_390_tab[[#This Row],[Punkte]]/$B$3)&lt;1,1,TRUNC((17/3)-(5*Punkteschnitt_390_tab[[#This Row],[Punkte]]/$B$3),1))</f>
        <v>4.7</v>
      </c>
    </row>
    <row r="324" spans="2:3" x14ac:dyDescent="0.25">
      <c r="B324" s="139">
        <v>69</v>
      </c>
      <c r="C324" s="140">
        <f>IF((17/3)-(5*Punkteschnitt_390_tab[[#This Row],[Punkte]]/$B$3)&lt;1,1,TRUNC((17/3)-(5*Punkteschnitt_390_tab[[#This Row],[Punkte]]/$B$3),1))</f>
        <v>4.7</v>
      </c>
    </row>
    <row r="325" spans="2:3" x14ac:dyDescent="0.25">
      <c r="B325" s="139">
        <v>68</v>
      </c>
      <c r="C325" s="140">
        <f>IF((17/3)-(5*Punkteschnitt_390_tab[[#This Row],[Punkte]]/$B$3)&lt;1,1,TRUNC((17/3)-(5*Punkteschnitt_390_tab[[#This Row],[Punkte]]/$B$3),1))</f>
        <v>4.7</v>
      </c>
    </row>
    <row r="326" spans="2:3" x14ac:dyDescent="0.25">
      <c r="B326" s="139">
        <v>67</v>
      </c>
      <c r="C326" s="140">
        <f>IF((17/3)-(5*Punkteschnitt_390_tab[[#This Row],[Punkte]]/$B$3)&lt;1,1,TRUNC((17/3)-(5*Punkteschnitt_390_tab[[#This Row],[Punkte]]/$B$3),1))</f>
        <v>4.8</v>
      </c>
    </row>
    <row r="327" spans="2:3" x14ac:dyDescent="0.25">
      <c r="B327" s="139">
        <v>66</v>
      </c>
      <c r="C327" s="140">
        <f>IF((17/3)-(5*Punkteschnitt_390_tab[[#This Row],[Punkte]]/$B$3)&lt;1,1,TRUNC((17/3)-(5*Punkteschnitt_390_tab[[#This Row],[Punkte]]/$B$3),1))</f>
        <v>4.8</v>
      </c>
    </row>
    <row r="328" spans="2:3" x14ac:dyDescent="0.25">
      <c r="B328" s="139">
        <v>65</v>
      </c>
      <c r="C328" s="140">
        <f>IF((17/3)-(5*Punkteschnitt_390_tab[[#This Row],[Punkte]]/$B$3)&lt;1,1,TRUNC((17/3)-(5*Punkteschnitt_390_tab[[#This Row],[Punkte]]/$B$3),1))</f>
        <v>4.8</v>
      </c>
    </row>
    <row r="329" spans="2:3" x14ac:dyDescent="0.25">
      <c r="B329" s="139">
        <v>64</v>
      </c>
      <c r="C329" s="140">
        <f>IF((17/3)-(5*Punkteschnitt_390_tab[[#This Row],[Punkte]]/$B$3)&lt;1,1,TRUNC((17/3)-(5*Punkteschnitt_390_tab[[#This Row],[Punkte]]/$B$3),1))</f>
        <v>4.8</v>
      </c>
    </row>
    <row r="330" spans="2:3" x14ac:dyDescent="0.25">
      <c r="B330" s="139">
        <v>63</v>
      </c>
      <c r="C330" s="140">
        <f>IF((17/3)-(5*Punkteschnitt_390_tab[[#This Row],[Punkte]]/$B$3)&lt;1,1,TRUNC((17/3)-(5*Punkteschnitt_390_tab[[#This Row],[Punkte]]/$B$3),1))</f>
        <v>4.8</v>
      </c>
    </row>
    <row r="331" spans="2:3" x14ac:dyDescent="0.25">
      <c r="B331" s="139">
        <v>62</v>
      </c>
      <c r="C331" s="140">
        <f>IF((17/3)-(5*Punkteschnitt_390_tab[[#This Row],[Punkte]]/$B$3)&lt;1,1,TRUNC((17/3)-(5*Punkteschnitt_390_tab[[#This Row],[Punkte]]/$B$3),1))</f>
        <v>4.8</v>
      </c>
    </row>
    <row r="332" spans="2:3" x14ac:dyDescent="0.25">
      <c r="B332" s="139">
        <v>61</v>
      </c>
      <c r="C332" s="140">
        <f>IF((17/3)-(5*Punkteschnitt_390_tab[[#This Row],[Punkte]]/$B$3)&lt;1,1,TRUNC((17/3)-(5*Punkteschnitt_390_tab[[#This Row],[Punkte]]/$B$3),1))</f>
        <v>4.8</v>
      </c>
    </row>
    <row r="333" spans="2:3" x14ac:dyDescent="0.25">
      <c r="B333" s="139">
        <v>60</v>
      </c>
      <c r="C333" s="140">
        <f>IF((17/3)-(5*Punkteschnitt_390_tab[[#This Row],[Punkte]]/$B$3)&lt;1,1,TRUNC((17/3)-(5*Punkteschnitt_390_tab[[#This Row],[Punkte]]/$B$3),1))</f>
        <v>4.8</v>
      </c>
    </row>
    <row r="334" spans="2:3" x14ac:dyDescent="0.25">
      <c r="B334" s="139">
        <v>59</v>
      </c>
      <c r="C334" s="140">
        <f>IF((17/3)-(5*Punkteschnitt_390_tab[[#This Row],[Punkte]]/$B$3)&lt;1,1,TRUNC((17/3)-(5*Punkteschnitt_390_tab[[#This Row],[Punkte]]/$B$3),1))</f>
        <v>4.9000000000000004</v>
      </c>
    </row>
    <row r="335" spans="2:3" x14ac:dyDescent="0.25">
      <c r="B335" s="139">
        <v>58</v>
      </c>
      <c r="C335" s="140">
        <f>IF((17/3)-(5*Punkteschnitt_390_tab[[#This Row],[Punkte]]/$B$3)&lt;1,1,TRUNC((17/3)-(5*Punkteschnitt_390_tab[[#This Row],[Punkte]]/$B$3),1))</f>
        <v>4.9000000000000004</v>
      </c>
    </row>
    <row r="336" spans="2:3" x14ac:dyDescent="0.25">
      <c r="B336" s="139">
        <v>57</v>
      </c>
      <c r="C336" s="140">
        <f>IF((17/3)-(5*Punkteschnitt_390_tab[[#This Row],[Punkte]]/$B$3)&lt;1,1,TRUNC((17/3)-(5*Punkteschnitt_390_tab[[#This Row],[Punkte]]/$B$3),1))</f>
        <v>4.9000000000000004</v>
      </c>
    </row>
    <row r="337" spans="2:3" x14ac:dyDescent="0.25">
      <c r="B337" s="139">
        <v>56</v>
      </c>
      <c r="C337" s="140">
        <f>IF((17/3)-(5*Punkteschnitt_390_tab[[#This Row],[Punkte]]/$B$3)&lt;1,1,TRUNC((17/3)-(5*Punkteschnitt_390_tab[[#This Row],[Punkte]]/$B$3),1))</f>
        <v>4.9000000000000004</v>
      </c>
    </row>
    <row r="338" spans="2:3" x14ac:dyDescent="0.25">
      <c r="B338" s="139">
        <v>55</v>
      </c>
      <c r="C338" s="140">
        <f>IF((17/3)-(5*Punkteschnitt_390_tab[[#This Row],[Punkte]]/$B$3)&lt;1,1,TRUNC((17/3)-(5*Punkteschnitt_390_tab[[#This Row],[Punkte]]/$B$3),1))</f>
        <v>4.9000000000000004</v>
      </c>
    </row>
    <row r="339" spans="2:3" x14ac:dyDescent="0.25">
      <c r="B339" s="139">
        <v>54</v>
      </c>
      <c r="C339" s="140">
        <f>IF((17/3)-(5*Punkteschnitt_390_tab[[#This Row],[Punkte]]/$B$3)&lt;1,1,TRUNC((17/3)-(5*Punkteschnitt_390_tab[[#This Row],[Punkte]]/$B$3),1))</f>
        <v>4.9000000000000004</v>
      </c>
    </row>
    <row r="340" spans="2:3" x14ac:dyDescent="0.25">
      <c r="B340" s="139">
        <v>53</v>
      </c>
      <c r="C340" s="140">
        <f>IF((17/3)-(5*Punkteschnitt_390_tab[[#This Row],[Punkte]]/$B$3)&lt;1,1,TRUNC((17/3)-(5*Punkteschnitt_390_tab[[#This Row],[Punkte]]/$B$3),1))</f>
        <v>4.9000000000000004</v>
      </c>
    </row>
    <row r="341" spans="2:3" x14ac:dyDescent="0.25">
      <c r="B341" s="139">
        <v>52</v>
      </c>
      <c r="C341" s="140">
        <f>IF((17/3)-(5*Punkteschnitt_390_tab[[#This Row],[Punkte]]/$B$3)&lt;1,1,TRUNC((17/3)-(5*Punkteschnitt_390_tab[[#This Row],[Punkte]]/$B$3),1))</f>
        <v>5</v>
      </c>
    </row>
    <row r="342" spans="2:3" x14ac:dyDescent="0.25">
      <c r="B342" s="139">
        <v>51</v>
      </c>
      <c r="C342" s="140">
        <f>IF((17/3)-(5*Punkteschnitt_390_tab[[#This Row],[Punkte]]/$B$3)&lt;1,1,TRUNC((17/3)-(5*Punkteschnitt_390_tab[[#This Row],[Punkte]]/$B$3),1))</f>
        <v>5</v>
      </c>
    </row>
    <row r="343" spans="2:3" x14ac:dyDescent="0.25">
      <c r="B343" s="139">
        <v>50</v>
      </c>
      <c r="C343" s="140">
        <f>IF((17/3)-(5*Punkteschnitt_390_tab[[#This Row],[Punkte]]/$B$3)&lt;1,1,TRUNC((17/3)-(5*Punkteschnitt_390_tab[[#This Row],[Punkte]]/$B$3),1))</f>
        <v>5</v>
      </c>
    </row>
    <row r="344" spans="2:3" x14ac:dyDescent="0.25">
      <c r="B344" s="139">
        <v>49</v>
      </c>
      <c r="C344" s="140">
        <f>IF((17/3)-(5*Punkteschnitt_390_tab[[#This Row],[Punkte]]/$B$3)&lt;1,1,TRUNC((17/3)-(5*Punkteschnitt_390_tab[[#This Row],[Punkte]]/$B$3),1))</f>
        <v>5</v>
      </c>
    </row>
    <row r="345" spans="2:3" x14ac:dyDescent="0.25">
      <c r="B345" s="139">
        <v>48</v>
      </c>
      <c r="C345" s="140">
        <f>IF((17/3)-(5*Punkteschnitt_390_tab[[#This Row],[Punkte]]/$B$3)&lt;1,1,TRUNC((17/3)-(5*Punkteschnitt_390_tab[[#This Row],[Punkte]]/$B$3),1))</f>
        <v>5</v>
      </c>
    </row>
    <row r="346" spans="2:3" x14ac:dyDescent="0.25">
      <c r="B346" s="139">
        <v>47</v>
      </c>
      <c r="C346" s="140">
        <f>IF((17/3)-(5*Punkteschnitt_390_tab[[#This Row],[Punkte]]/$B$3)&lt;1,1,TRUNC((17/3)-(5*Punkteschnitt_390_tab[[#This Row],[Punkte]]/$B$3),1))</f>
        <v>5</v>
      </c>
    </row>
    <row r="347" spans="2:3" x14ac:dyDescent="0.25">
      <c r="B347" s="139">
        <v>46</v>
      </c>
      <c r="C347" s="140">
        <f>IF((17/3)-(5*Punkteschnitt_390_tab[[#This Row],[Punkte]]/$B$3)&lt;1,1,TRUNC((17/3)-(5*Punkteschnitt_390_tab[[#This Row],[Punkte]]/$B$3),1))</f>
        <v>5</v>
      </c>
    </row>
    <row r="348" spans="2:3" x14ac:dyDescent="0.25">
      <c r="B348" s="139">
        <v>45</v>
      </c>
      <c r="C348" s="140">
        <f>IF((17/3)-(5*Punkteschnitt_390_tab[[#This Row],[Punkte]]/$B$3)&lt;1,1,TRUNC((17/3)-(5*Punkteschnitt_390_tab[[#This Row],[Punkte]]/$B$3),1))</f>
        <v>5</v>
      </c>
    </row>
    <row r="349" spans="2:3" x14ac:dyDescent="0.25">
      <c r="B349" s="139">
        <v>44</v>
      </c>
      <c r="C349" s="140">
        <f>IF((17/3)-(5*Punkteschnitt_390_tab[[#This Row],[Punkte]]/$B$3)&lt;1,1,TRUNC((17/3)-(5*Punkteschnitt_390_tab[[#This Row],[Punkte]]/$B$3),1))</f>
        <v>5.0999999999999996</v>
      </c>
    </row>
    <row r="350" spans="2:3" x14ac:dyDescent="0.25">
      <c r="B350" s="139">
        <v>43</v>
      </c>
      <c r="C350" s="140">
        <f>IF((17/3)-(5*Punkteschnitt_390_tab[[#This Row],[Punkte]]/$B$3)&lt;1,1,TRUNC((17/3)-(5*Punkteschnitt_390_tab[[#This Row],[Punkte]]/$B$3),1))</f>
        <v>5.0999999999999996</v>
      </c>
    </row>
    <row r="351" spans="2:3" x14ac:dyDescent="0.25">
      <c r="B351" s="139">
        <v>42</v>
      </c>
      <c r="C351" s="140">
        <f>IF((17/3)-(5*Punkteschnitt_390_tab[[#This Row],[Punkte]]/$B$3)&lt;1,1,TRUNC((17/3)-(5*Punkteschnitt_390_tab[[#This Row],[Punkte]]/$B$3),1))</f>
        <v>5.0999999999999996</v>
      </c>
    </row>
    <row r="352" spans="2:3" x14ac:dyDescent="0.25">
      <c r="B352" s="139">
        <v>41</v>
      </c>
      <c r="C352" s="140">
        <f>IF((17/3)-(5*Punkteschnitt_390_tab[[#This Row],[Punkte]]/$B$3)&lt;1,1,TRUNC((17/3)-(5*Punkteschnitt_390_tab[[#This Row],[Punkte]]/$B$3),1))</f>
        <v>5.0999999999999996</v>
      </c>
    </row>
    <row r="353" spans="2:3" x14ac:dyDescent="0.25">
      <c r="B353" s="139">
        <v>40</v>
      </c>
      <c r="C353" s="140">
        <f>IF((17/3)-(5*Punkteschnitt_390_tab[[#This Row],[Punkte]]/$B$3)&lt;1,1,TRUNC((17/3)-(5*Punkteschnitt_390_tab[[#This Row],[Punkte]]/$B$3),1))</f>
        <v>5.0999999999999996</v>
      </c>
    </row>
    <row r="354" spans="2:3" x14ac:dyDescent="0.25">
      <c r="B354" s="139">
        <v>39</v>
      </c>
      <c r="C354" s="140">
        <f>IF((17/3)-(5*Punkteschnitt_390_tab[[#This Row],[Punkte]]/$B$3)&lt;1,1,TRUNC((17/3)-(5*Punkteschnitt_390_tab[[#This Row],[Punkte]]/$B$3),1))</f>
        <v>5.0999999999999996</v>
      </c>
    </row>
    <row r="355" spans="2:3" x14ac:dyDescent="0.25">
      <c r="B355" s="139">
        <v>38</v>
      </c>
      <c r="C355" s="140">
        <f>IF((17/3)-(5*Punkteschnitt_390_tab[[#This Row],[Punkte]]/$B$3)&lt;1,1,TRUNC((17/3)-(5*Punkteschnitt_390_tab[[#This Row],[Punkte]]/$B$3),1))</f>
        <v>5.0999999999999996</v>
      </c>
    </row>
    <row r="356" spans="2:3" x14ac:dyDescent="0.25">
      <c r="B356" s="139">
        <v>37</v>
      </c>
      <c r="C356" s="140">
        <f>IF((17/3)-(5*Punkteschnitt_390_tab[[#This Row],[Punkte]]/$B$3)&lt;1,1,TRUNC((17/3)-(5*Punkteschnitt_390_tab[[#This Row],[Punkte]]/$B$3),1))</f>
        <v>5.0999999999999996</v>
      </c>
    </row>
    <row r="357" spans="2:3" x14ac:dyDescent="0.25">
      <c r="B357" s="139">
        <v>36</v>
      </c>
      <c r="C357" s="140">
        <f>IF((17/3)-(5*Punkteschnitt_390_tab[[#This Row],[Punkte]]/$B$3)&lt;1,1,TRUNC((17/3)-(5*Punkteschnitt_390_tab[[#This Row],[Punkte]]/$B$3),1))</f>
        <v>5.2</v>
      </c>
    </row>
    <row r="358" spans="2:3" x14ac:dyDescent="0.25">
      <c r="B358" s="139">
        <v>35</v>
      </c>
      <c r="C358" s="140">
        <f>IF((17/3)-(5*Punkteschnitt_390_tab[[#This Row],[Punkte]]/$B$3)&lt;1,1,TRUNC((17/3)-(5*Punkteschnitt_390_tab[[#This Row],[Punkte]]/$B$3),1))</f>
        <v>5.2</v>
      </c>
    </row>
    <row r="359" spans="2:3" x14ac:dyDescent="0.25">
      <c r="B359" s="139">
        <v>34</v>
      </c>
      <c r="C359" s="140">
        <f>IF((17/3)-(5*Punkteschnitt_390_tab[[#This Row],[Punkte]]/$B$3)&lt;1,1,TRUNC((17/3)-(5*Punkteschnitt_390_tab[[#This Row],[Punkte]]/$B$3),1))</f>
        <v>5.2</v>
      </c>
    </row>
    <row r="360" spans="2:3" x14ac:dyDescent="0.25">
      <c r="B360" s="139">
        <v>33</v>
      </c>
      <c r="C360" s="140">
        <f>IF((17/3)-(5*Punkteschnitt_390_tab[[#This Row],[Punkte]]/$B$3)&lt;1,1,TRUNC((17/3)-(5*Punkteschnitt_390_tab[[#This Row],[Punkte]]/$B$3),1))</f>
        <v>5.2</v>
      </c>
    </row>
    <row r="361" spans="2:3" x14ac:dyDescent="0.25">
      <c r="B361" s="139">
        <v>32</v>
      </c>
      <c r="C361" s="140">
        <f>IF((17/3)-(5*Punkteschnitt_390_tab[[#This Row],[Punkte]]/$B$3)&lt;1,1,TRUNC((17/3)-(5*Punkteschnitt_390_tab[[#This Row],[Punkte]]/$B$3),1))</f>
        <v>5.2</v>
      </c>
    </row>
    <row r="362" spans="2:3" x14ac:dyDescent="0.25">
      <c r="B362" s="139">
        <v>31</v>
      </c>
      <c r="C362" s="140">
        <f>IF((17/3)-(5*Punkteschnitt_390_tab[[#This Row],[Punkte]]/$B$3)&lt;1,1,TRUNC((17/3)-(5*Punkteschnitt_390_tab[[#This Row],[Punkte]]/$B$3),1))</f>
        <v>5.2</v>
      </c>
    </row>
    <row r="363" spans="2:3" x14ac:dyDescent="0.25">
      <c r="B363" s="139">
        <v>30</v>
      </c>
      <c r="C363" s="140">
        <f>IF((17/3)-(5*Punkteschnitt_390_tab[[#This Row],[Punkte]]/$B$3)&lt;1,1,TRUNC((17/3)-(5*Punkteschnitt_390_tab[[#This Row],[Punkte]]/$B$3),1))</f>
        <v>5.2</v>
      </c>
    </row>
    <row r="364" spans="2:3" x14ac:dyDescent="0.25">
      <c r="B364" s="139">
        <v>29</v>
      </c>
      <c r="C364" s="140">
        <f>IF((17/3)-(5*Punkteschnitt_390_tab[[#This Row],[Punkte]]/$B$3)&lt;1,1,TRUNC((17/3)-(5*Punkteschnitt_390_tab[[#This Row],[Punkte]]/$B$3),1))</f>
        <v>5.2</v>
      </c>
    </row>
    <row r="365" spans="2:3" x14ac:dyDescent="0.25">
      <c r="B365" s="139">
        <v>28</v>
      </c>
      <c r="C365" s="140">
        <f>IF((17/3)-(5*Punkteschnitt_390_tab[[#This Row],[Punkte]]/$B$3)&lt;1,1,TRUNC((17/3)-(5*Punkteschnitt_390_tab[[#This Row],[Punkte]]/$B$3),1))</f>
        <v>5.3</v>
      </c>
    </row>
    <row r="366" spans="2:3" x14ac:dyDescent="0.25">
      <c r="B366" s="139">
        <v>27</v>
      </c>
      <c r="C366" s="140">
        <f>IF((17/3)-(5*Punkteschnitt_390_tab[[#This Row],[Punkte]]/$B$3)&lt;1,1,TRUNC((17/3)-(5*Punkteschnitt_390_tab[[#This Row],[Punkte]]/$B$3),1))</f>
        <v>5.3</v>
      </c>
    </row>
    <row r="367" spans="2:3" x14ac:dyDescent="0.25">
      <c r="B367" s="139">
        <v>26</v>
      </c>
      <c r="C367" s="140">
        <f>IF((17/3)-(5*Punkteschnitt_390_tab[[#This Row],[Punkte]]/$B$3)&lt;1,1,TRUNC((17/3)-(5*Punkteschnitt_390_tab[[#This Row],[Punkte]]/$B$3),1))</f>
        <v>5.3</v>
      </c>
    </row>
    <row r="368" spans="2:3" x14ac:dyDescent="0.25">
      <c r="B368" s="139">
        <v>25</v>
      </c>
      <c r="C368" s="140">
        <f>IF((17/3)-(5*Punkteschnitt_390_tab[[#This Row],[Punkte]]/$B$3)&lt;1,1,TRUNC((17/3)-(5*Punkteschnitt_390_tab[[#This Row],[Punkte]]/$B$3),1))</f>
        <v>5.3</v>
      </c>
    </row>
    <row r="369" spans="2:3" x14ac:dyDescent="0.25">
      <c r="B369" s="139">
        <v>24</v>
      </c>
      <c r="C369" s="140">
        <f>IF((17/3)-(5*Punkteschnitt_390_tab[[#This Row],[Punkte]]/$B$3)&lt;1,1,TRUNC((17/3)-(5*Punkteschnitt_390_tab[[#This Row],[Punkte]]/$B$3),1))</f>
        <v>5.3</v>
      </c>
    </row>
    <row r="370" spans="2:3" x14ac:dyDescent="0.25">
      <c r="B370" s="139">
        <v>23</v>
      </c>
      <c r="C370" s="140">
        <f>IF((17/3)-(5*Punkteschnitt_390_tab[[#This Row],[Punkte]]/$B$3)&lt;1,1,TRUNC((17/3)-(5*Punkteschnitt_390_tab[[#This Row],[Punkte]]/$B$3),1))</f>
        <v>5.3</v>
      </c>
    </row>
    <row r="371" spans="2:3" x14ac:dyDescent="0.25">
      <c r="B371" s="139">
        <v>22</v>
      </c>
      <c r="C371" s="140">
        <f>IF((17/3)-(5*Punkteschnitt_390_tab[[#This Row],[Punkte]]/$B$3)&lt;1,1,TRUNC((17/3)-(5*Punkteschnitt_390_tab[[#This Row],[Punkte]]/$B$3),1))</f>
        <v>5.3</v>
      </c>
    </row>
    <row r="372" spans="2:3" x14ac:dyDescent="0.25">
      <c r="B372" s="139">
        <v>21</v>
      </c>
      <c r="C372" s="140">
        <f>IF((17/3)-(5*Punkteschnitt_390_tab[[#This Row],[Punkte]]/$B$3)&lt;1,1,TRUNC((17/3)-(5*Punkteschnitt_390_tab[[#This Row],[Punkte]]/$B$3),1))</f>
        <v>5.3</v>
      </c>
    </row>
    <row r="373" spans="2:3" x14ac:dyDescent="0.25">
      <c r="B373" s="139">
        <v>20</v>
      </c>
      <c r="C373" s="140">
        <f>IF((17/3)-(5*Punkteschnitt_390_tab[[#This Row],[Punkte]]/$B$3)&lt;1,1,TRUNC((17/3)-(5*Punkteschnitt_390_tab[[#This Row],[Punkte]]/$B$3),1))</f>
        <v>5.4</v>
      </c>
    </row>
    <row r="374" spans="2:3" x14ac:dyDescent="0.25">
      <c r="B374" s="139">
        <v>19</v>
      </c>
      <c r="C374" s="140">
        <f>IF((17/3)-(5*Punkteschnitt_390_tab[[#This Row],[Punkte]]/$B$3)&lt;1,1,TRUNC((17/3)-(5*Punkteschnitt_390_tab[[#This Row],[Punkte]]/$B$3),1))</f>
        <v>5.4</v>
      </c>
    </row>
    <row r="375" spans="2:3" x14ac:dyDescent="0.25">
      <c r="B375" s="139">
        <v>18</v>
      </c>
      <c r="C375" s="140">
        <f>IF((17/3)-(5*Punkteschnitt_390_tab[[#This Row],[Punkte]]/$B$3)&lt;1,1,TRUNC((17/3)-(5*Punkteschnitt_390_tab[[#This Row],[Punkte]]/$B$3),1))</f>
        <v>5.4</v>
      </c>
    </row>
    <row r="376" spans="2:3" x14ac:dyDescent="0.25">
      <c r="B376" s="139">
        <v>17</v>
      </c>
      <c r="C376" s="140">
        <f>IF((17/3)-(5*Punkteschnitt_390_tab[[#This Row],[Punkte]]/$B$3)&lt;1,1,TRUNC((17/3)-(5*Punkteschnitt_390_tab[[#This Row],[Punkte]]/$B$3),1))</f>
        <v>5.4</v>
      </c>
    </row>
    <row r="377" spans="2:3" x14ac:dyDescent="0.25">
      <c r="B377" s="139">
        <v>16</v>
      </c>
      <c r="C377" s="140">
        <f>IF((17/3)-(5*Punkteschnitt_390_tab[[#This Row],[Punkte]]/$B$3)&lt;1,1,TRUNC((17/3)-(5*Punkteschnitt_390_tab[[#This Row],[Punkte]]/$B$3),1))</f>
        <v>5.4</v>
      </c>
    </row>
    <row r="378" spans="2:3" x14ac:dyDescent="0.25">
      <c r="B378" s="139">
        <v>15</v>
      </c>
      <c r="C378" s="140">
        <f>IF((17/3)-(5*Punkteschnitt_390_tab[[#This Row],[Punkte]]/$B$3)&lt;1,1,TRUNC((17/3)-(5*Punkteschnitt_390_tab[[#This Row],[Punkte]]/$B$3),1))</f>
        <v>5.4</v>
      </c>
    </row>
    <row r="379" spans="2:3" x14ac:dyDescent="0.25">
      <c r="B379" s="139">
        <v>14</v>
      </c>
      <c r="C379" s="140">
        <f>IF((17/3)-(5*Punkteschnitt_390_tab[[#This Row],[Punkte]]/$B$3)&lt;1,1,TRUNC((17/3)-(5*Punkteschnitt_390_tab[[#This Row],[Punkte]]/$B$3),1))</f>
        <v>5.4</v>
      </c>
    </row>
    <row r="380" spans="2:3" x14ac:dyDescent="0.25">
      <c r="B380" s="139">
        <v>13</v>
      </c>
      <c r="C380" s="140">
        <f>IF((17/3)-(5*Punkteschnitt_390_tab[[#This Row],[Punkte]]/$B$3)&lt;1,1,TRUNC((17/3)-(5*Punkteschnitt_390_tab[[#This Row],[Punkte]]/$B$3),1))</f>
        <v>5.5</v>
      </c>
    </row>
    <row r="381" spans="2:3" x14ac:dyDescent="0.25">
      <c r="B381" s="139">
        <v>12</v>
      </c>
      <c r="C381" s="140">
        <f>IF((17/3)-(5*Punkteschnitt_390_tab[[#This Row],[Punkte]]/$B$3)&lt;1,1,TRUNC((17/3)-(5*Punkteschnitt_390_tab[[#This Row],[Punkte]]/$B$3),1))</f>
        <v>5.5</v>
      </c>
    </row>
    <row r="382" spans="2:3" x14ac:dyDescent="0.25">
      <c r="B382" s="139">
        <v>11</v>
      </c>
      <c r="C382" s="140">
        <f>IF((17/3)-(5*Punkteschnitt_390_tab[[#This Row],[Punkte]]/$B$3)&lt;1,1,TRUNC((17/3)-(5*Punkteschnitt_390_tab[[#This Row],[Punkte]]/$B$3),1))</f>
        <v>5.5</v>
      </c>
    </row>
    <row r="383" spans="2:3" x14ac:dyDescent="0.25">
      <c r="B383" s="139">
        <v>10</v>
      </c>
      <c r="C383" s="140">
        <f>IF((17/3)-(5*Punkteschnitt_390_tab[[#This Row],[Punkte]]/$B$3)&lt;1,1,TRUNC((17/3)-(5*Punkteschnitt_390_tab[[#This Row],[Punkte]]/$B$3),1))</f>
        <v>5.5</v>
      </c>
    </row>
    <row r="384" spans="2:3" x14ac:dyDescent="0.25">
      <c r="B384" s="139">
        <v>9</v>
      </c>
      <c r="C384" s="140">
        <f>IF((17/3)-(5*Punkteschnitt_390_tab[[#This Row],[Punkte]]/$B$3)&lt;1,1,TRUNC((17/3)-(5*Punkteschnitt_390_tab[[#This Row],[Punkte]]/$B$3),1))</f>
        <v>5.5</v>
      </c>
    </row>
    <row r="385" spans="2:3" x14ac:dyDescent="0.25">
      <c r="B385" s="139">
        <v>8</v>
      </c>
      <c r="C385" s="140">
        <f>IF((17/3)-(5*Punkteschnitt_390_tab[[#This Row],[Punkte]]/$B$3)&lt;1,1,TRUNC((17/3)-(5*Punkteschnitt_390_tab[[#This Row],[Punkte]]/$B$3),1))</f>
        <v>5.5</v>
      </c>
    </row>
    <row r="386" spans="2:3" x14ac:dyDescent="0.25">
      <c r="B386" s="139">
        <v>7</v>
      </c>
      <c r="C386" s="140">
        <f>IF((17/3)-(5*Punkteschnitt_390_tab[[#This Row],[Punkte]]/$B$3)&lt;1,1,TRUNC((17/3)-(5*Punkteschnitt_390_tab[[#This Row],[Punkte]]/$B$3),1))</f>
        <v>5.5</v>
      </c>
    </row>
    <row r="387" spans="2:3" x14ac:dyDescent="0.25">
      <c r="B387" s="139">
        <v>6</v>
      </c>
      <c r="C387" s="140">
        <f>IF((17/3)-(5*Punkteschnitt_390_tab[[#This Row],[Punkte]]/$B$3)&lt;1,1,TRUNC((17/3)-(5*Punkteschnitt_390_tab[[#This Row],[Punkte]]/$B$3),1))</f>
        <v>5.5</v>
      </c>
    </row>
    <row r="388" spans="2:3" x14ac:dyDescent="0.25">
      <c r="B388" s="139">
        <v>5</v>
      </c>
      <c r="C388" s="140">
        <f>IF((17/3)-(5*Punkteschnitt_390_tab[[#This Row],[Punkte]]/$B$3)&lt;1,1,TRUNC((17/3)-(5*Punkteschnitt_390_tab[[#This Row],[Punkte]]/$B$3),1))</f>
        <v>5.6</v>
      </c>
    </row>
    <row r="389" spans="2:3" x14ac:dyDescent="0.25">
      <c r="B389" s="139">
        <v>4</v>
      </c>
      <c r="C389" s="140">
        <f>IF((17/3)-(5*Punkteschnitt_390_tab[[#This Row],[Punkte]]/$B$3)&lt;1,1,TRUNC((17/3)-(5*Punkteschnitt_390_tab[[#This Row],[Punkte]]/$B$3),1))</f>
        <v>5.6</v>
      </c>
    </row>
    <row r="390" spans="2:3" x14ac:dyDescent="0.25">
      <c r="B390" s="139">
        <v>3</v>
      </c>
      <c r="C390" s="140">
        <f>IF((17/3)-(5*Punkteschnitt_390_tab[[#This Row],[Punkte]]/$B$3)&lt;1,1,TRUNC((17/3)-(5*Punkteschnitt_390_tab[[#This Row],[Punkte]]/$B$3),1))</f>
        <v>5.6</v>
      </c>
    </row>
    <row r="391" spans="2:3" x14ac:dyDescent="0.25">
      <c r="B391" s="139">
        <v>2</v>
      </c>
      <c r="C391" s="140">
        <f>IF((17/3)-(5*Punkteschnitt_390_tab[[#This Row],[Punkte]]/$B$3)&lt;1,1,TRUNC((17/3)-(5*Punkteschnitt_390_tab[[#This Row],[Punkte]]/$B$3),1))</f>
        <v>5.6</v>
      </c>
    </row>
    <row r="392" spans="2:3" x14ac:dyDescent="0.25">
      <c r="B392" s="139">
        <v>1</v>
      </c>
      <c r="C392" s="140">
        <f>IF((17/3)-(5*Punkteschnitt_390_tab[[#This Row],[Punkte]]/$B$3)&lt;1,1,TRUNC((17/3)-(5*Punkteschnitt_390_tab[[#This Row],[Punkte]]/$B$3),1))</f>
        <v>5.6</v>
      </c>
    </row>
    <row r="393" spans="2:3" x14ac:dyDescent="0.25">
      <c r="B393" s="139">
        <v>0</v>
      </c>
      <c r="C393" s="140">
        <f>IF((17/3)-(5*Punkteschnitt_390_tab[[#This Row],[Punkte]]/$B$3)&lt;1,1,TRUNC((17/3)-(5*Punkteschnitt_390_tab[[#This Row],[Punkte]]/$B$3),1))</f>
        <v>5.6</v>
      </c>
    </row>
  </sheetData>
  <sheetProtection algorithmName="SHA-512" hashValue="rPTxL/TX5GWaC2v+Dhp4SVCycr/tyPLHbFerJdqpO0K6hVeScHxumGRaSohL9lx9NP6w+kBYQ/M+t7hZttjSjg==" saltValue="3YiXjlOrMYwu1rJbeQrIAw==" spinCount="100000" sheet="1" objects="1" scenarios="1"/>
  <pageMargins left="0.7" right="0.7" top="0.78740157499999996" bottom="0.78740157499999996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03E81-44D5-4D20-A288-602BBBA8FEDE}">
  <sheetPr codeName="Tabelle6"/>
  <dimension ref="B2:G423"/>
  <sheetViews>
    <sheetView showGridLines="0" topLeftCell="A16" workbookViewId="0">
      <selection activeCell="I27" sqref="I27"/>
    </sheetView>
  </sheetViews>
  <sheetFormatPr baseColWidth="10" defaultRowHeight="15" x14ac:dyDescent="0.25"/>
  <cols>
    <col min="1" max="1" width="11.42578125" style="69"/>
    <col min="2" max="3" width="11.42578125" style="139"/>
    <col min="4" max="4" width="11.42578125" style="69"/>
    <col min="5" max="5" width="11.42578125" style="139"/>
    <col min="6" max="6" width="17.42578125" style="139" customWidth="1"/>
    <col min="7" max="7" width="17.140625" style="139" customWidth="1"/>
    <col min="8" max="16384" width="11.42578125" style="69"/>
  </cols>
  <sheetData>
    <row r="2" spans="2:7" x14ac:dyDescent="0.25">
      <c r="B2" s="139" t="s">
        <v>201</v>
      </c>
      <c r="C2" s="139" t="s">
        <v>202</v>
      </c>
      <c r="E2" s="140" t="s">
        <v>202</v>
      </c>
      <c r="F2" s="139" t="s">
        <v>203</v>
      </c>
      <c r="G2" s="139" t="s">
        <v>204</v>
      </c>
    </row>
    <row r="3" spans="2:7" x14ac:dyDescent="0.25">
      <c r="B3" s="139">
        <v>420</v>
      </c>
      <c r="C3" s="140">
        <f>IF((17/3)-(5*Punkteschnitt_420_tab[[#This Row],[Punkte]]/$B$3)&lt;1,1,TRUNC((17/3)-(5*Punkteschnitt_420_tab[[#This Row],[Punkte]]/$B$3),1))</f>
        <v>1</v>
      </c>
      <c r="E3" s="140">
        <v>1</v>
      </c>
      <c r="F3" s="139">
        <f>INDEX(Punkteschnitt_420_tab[],MATCH(Schnitt_von_bis_420_tab[[#This Row],[Schnitt]],Punkteschnitt_420_tab[Schnitt],0),1)</f>
        <v>420</v>
      </c>
      <c r="G3" s="139">
        <f t="shared" ref="G3:G49" si="0">IF(F4&gt;0,F4+1,0)</f>
        <v>384</v>
      </c>
    </row>
    <row r="4" spans="2:7" x14ac:dyDescent="0.25">
      <c r="B4" s="139">
        <v>419</v>
      </c>
      <c r="C4" s="140">
        <f>IF((17/3)-(5*Punkteschnitt_420_tab[[#This Row],[Punkte]]/$B$3)&lt;1,1,TRUNC((17/3)-(5*Punkteschnitt_420_tab[[#This Row],[Punkte]]/$B$3),1))</f>
        <v>1</v>
      </c>
      <c r="E4" s="140">
        <v>1.1000000000000001</v>
      </c>
      <c r="F4" s="139">
        <f>INDEX(Punkteschnitt_420_tab[],MATCH(Schnitt_von_bis_420_tab[[#This Row],[Schnitt]],Punkteschnitt_420_tab[Schnitt],0),1)</f>
        <v>383</v>
      </c>
      <c r="G4" s="139">
        <f t="shared" si="0"/>
        <v>376</v>
      </c>
    </row>
    <row r="5" spans="2:7" x14ac:dyDescent="0.25">
      <c r="B5" s="139">
        <v>418</v>
      </c>
      <c r="C5" s="140">
        <f>IF((17/3)-(5*Punkteschnitt_420_tab[[#This Row],[Punkte]]/$B$3)&lt;1,1,TRUNC((17/3)-(5*Punkteschnitt_420_tab[[#This Row],[Punkte]]/$B$3),1))</f>
        <v>1</v>
      </c>
      <c r="E5" s="140">
        <v>1.2</v>
      </c>
      <c r="F5" s="139">
        <f>INDEX(Punkteschnitt_420_tab[],MATCH(Schnitt_von_bis_420_tab[[#This Row],[Schnitt]],Punkteschnitt_420_tab[Schnitt],0),1)</f>
        <v>375</v>
      </c>
      <c r="G5" s="139">
        <f t="shared" si="0"/>
        <v>367</v>
      </c>
    </row>
    <row r="6" spans="2:7" x14ac:dyDescent="0.25">
      <c r="B6" s="139">
        <v>417</v>
      </c>
      <c r="C6" s="140">
        <f>IF((17/3)-(5*Punkteschnitt_420_tab[[#This Row],[Punkte]]/$B$3)&lt;1,1,TRUNC((17/3)-(5*Punkteschnitt_420_tab[[#This Row],[Punkte]]/$B$3),1))</f>
        <v>1</v>
      </c>
      <c r="E6" s="140">
        <v>1.3</v>
      </c>
      <c r="F6" s="139">
        <f>INDEX(Punkteschnitt_420_tab[],MATCH(Schnitt_von_bis_420_tab[[#This Row],[Schnitt]],Punkteschnitt_420_tab[Schnitt],0),1)</f>
        <v>366</v>
      </c>
      <c r="G6" s="139">
        <f t="shared" si="0"/>
        <v>359</v>
      </c>
    </row>
    <row r="7" spans="2:7" x14ac:dyDescent="0.25">
      <c r="B7" s="139">
        <v>416</v>
      </c>
      <c r="C7" s="140">
        <f>IF((17/3)-(5*Punkteschnitt_420_tab[[#This Row],[Punkte]]/$B$3)&lt;1,1,TRUNC((17/3)-(5*Punkteschnitt_420_tab[[#This Row],[Punkte]]/$B$3),1))</f>
        <v>1</v>
      </c>
      <c r="E7" s="140">
        <v>1.4</v>
      </c>
      <c r="F7" s="139">
        <f>INDEX(Punkteschnitt_420_tab[],MATCH(Schnitt_von_bis_420_tab[[#This Row],[Schnitt]],Punkteschnitt_420_tab[Schnitt],0),1)</f>
        <v>358</v>
      </c>
      <c r="G7" s="139">
        <f t="shared" si="0"/>
        <v>351</v>
      </c>
    </row>
    <row r="8" spans="2:7" x14ac:dyDescent="0.25">
      <c r="B8" s="139">
        <v>415</v>
      </c>
      <c r="C8" s="140">
        <f>IF((17/3)-(5*Punkteschnitt_420_tab[[#This Row],[Punkte]]/$B$3)&lt;1,1,TRUNC((17/3)-(5*Punkteschnitt_420_tab[[#This Row],[Punkte]]/$B$3),1))</f>
        <v>1</v>
      </c>
      <c r="E8" s="140">
        <v>1.5</v>
      </c>
      <c r="F8" s="139">
        <f>INDEX(Punkteschnitt_420_tab[],MATCH(Schnitt_von_bis_420_tab[[#This Row],[Schnitt]],Punkteschnitt_420_tab[Schnitt],0),1)</f>
        <v>350</v>
      </c>
      <c r="G8" s="139">
        <f t="shared" si="0"/>
        <v>342</v>
      </c>
    </row>
    <row r="9" spans="2:7" x14ac:dyDescent="0.25">
      <c r="B9" s="139">
        <v>414</v>
      </c>
      <c r="C9" s="140">
        <f>IF((17/3)-(5*Punkteschnitt_420_tab[[#This Row],[Punkte]]/$B$3)&lt;1,1,TRUNC((17/3)-(5*Punkteschnitt_420_tab[[#This Row],[Punkte]]/$B$3),1))</f>
        <v>1</v>
      </c>
      <c r="E9" s="140">
        <v>1.6</v>
      </c>
      <c r="F9" s="139">
        <f>INDEX(Punkteschnitt_420_tab[],MATCH(Schnitt_von_bis_420_tab[[#This Row],[Schnitt]],Punkteschnitt_420_tab[Schnitt],0),1)</f>
        <v>341</v>
      </c>
      <c r="G9" s="139">
        <f t="shared" si="0"/>
        <v>334</v>
      </c>
    </row>
    <row r="10" spans="2:7" x14ac:dyDescent="0.25">
      <c r="B10" s="139">
        <v>413</v>
      </c>
      <c r="C10" s="140">
        <f>IF((17/3)-(5*Punkteschnitt_420_tab[[#This Row],[Punkte]]/$B$3)&lt;1,1,TRUNC((17/3)-(5*Punkteschnitt_420_tab[[#This Row],[Punkte]]/$B$3),1))</f>
        <v>1</v>
      </c>
      <c r="E10" s="140">
        <v>1.7</v>
      </c>
      <c r="F10" s="139">
        <f>INDEX(Punkteschnitt_420_tab[],MATCH(Schnitt_von_bis_420_tab[[#This Row],[Schnitt]],Punkteschnitt_420_tab[Schnitt],0),1)</f>
        <v>333</v>
      </c>
      <c r="G10" s="139">
        <f t="shared" si="0"/>
        <v>325</v>
      </c>
    </row>
    <row r="11" spans="2:7" x14ac:dyDescent="0.25">
      <c r="B11" s="139">
        <v>412</v>
      </c>
      <c r="C11" s="140">
        <f>IF((17/3)-(5*Punkteschnitt_420_tab[[#This Row],[Punkte]]/$B$3)&lt;1,1,TRUNC((17/3)-(5*Punkteschnitt_420_tab[[#This Row],[Punkte]]/$B$3),1))</f>
        <v>1</v>
      </c>
      <c r="E11" s="140">
        <v>1.8</v>
      </c>
      <c r="F11" s="139">
        <f>INDEX(Punkteschnitt_420_tab[],MATCH(Schnitt_von_bis_420_tab[[#This Row],[Schnitt]],Punkteschnitt_420_tab[Schnitt],0),1)</f>
        <v>324</v>
      </c>
      <c r="G11" s="139">
        <f t="shared" si="0"/>
        <v>317</v>
      </c>
    </row>
    <row r="12" spans="2:7" x14ac:dyDescent="0.25">
      <c r="B12" s="139">
        <v>411</v>
      </c>
      <c r="C12" s="140">
        <f>IF((17/3)-(5*Punkteschnitt_420_tab[[#This Row],[Punkte]]/$B$3)&lt;1,1,TRUNC((17/3)-(5*Punkteschnitt_420_tab[[#This Row],[Punkte]]/$B$3),1))</f>
        <v>1</v>
      </c>
      <c r="E12" s="140">
        <v>1.9</v>
      </c>
      <c r="F12" s="139">
        <f>INDEX(Punkteschnitt_420_tab[],MATCH(Schnitt_von_bis_420_tab[[#This Row],[Schnitt]],Punkteschnitt_420_tab[Schnitt],0),1)</f>
        <v>316</v>
      </c>
      <c r="G12" s="139">
        <f t="shared" si="0"/>
        <v>309</v>
      </c>
    </row>
    <row r="13" spans="2:7" x14ac:dyDescent="0.25">
      <c r="B13" s="139">
        <v>410</v>
      </c>
      <c r="C13" s="140">
        <f>IF((17/3)-(5*Punkteschnitt_420_tab[[#This Row],[Punkte]]/$B$3)&lt;1,1,TRUNC((17/3)-(5*Punkteschnitt_420_tab[[#This Row],[Punkte]]/$B$3),1))</f>
        <v>1</v>
      </c>
      <c r="E13" s="140">
        <v>2</v>
      </c>
      <c r="F13" s="139">
        <f>INDEX(Punkteschnitt_420_tab[],MATCH(Schnitt_von_bis_420_tab[[#This Row],[Schnitt]],Punkteschnitt_420_tab[Schnitt],0),1)</f>
        <v>308</v>
      </c>
      <c r="G13" s="139">
        <f t="shared" si="0"/>
        <v>300</v>
      </c>
    </row>
    <row r="14" spans="2:7" x14ac:dyDescent="0.25">
      <c r="B14" s="139">
        <v>409</v>
      </c>
      <c r="C14" s="140">
        <f>IF((17/3)-(5*Punkteschnitt_420_tab[[#This Row],[Punkte]]/$B$3)&lt;1,1,TRUNC((17/3)-(5*Punkteschnitt_420_tab[[#This Row],[Punkte]]/$B$3),1))</f>
        <v>1</v>
      </c>
      <c r="E14" s="140">
        <v>2.1</v>
      </c>
      <c r="F14" s="139">
        <f>INDEX(Punkteschnitt_420_tab[],MATCH(Schnitt_von_bis_420_tab[[#This Row],[Schnitt]],Punkteschnitt_420_tab[Schnitt],0),1)</f>
        <v>299</v>
      </c>
      <c r="G14" s="139">
        <f t="shared" si="0"/>
        <v>292</v>
      </c>
    </row>
    <row r="15" spans="2:7" x14ac:dyDescent="0.25">
      <c r="B15" s="139">
        <v>408</v>
      </c>
      <c r="C15" s="140">
        <f>IF((17/3)-(5*Punkteschnitt_420_tab[[#This Row],[Punkte]]/$B$3)&lt;1,1,TRUNC((17/3)-(5*Punkteschnitt_420_tab[[#This Row],[Punkte]]/$B$3),1))</f>
        <v>1</v>
      </c>
      <c r="E15" s="140">
        <v>2.2000000000000002</v>
      </c>
      <c r="F15" s="139">
        <f>INDEX(Punkteschnitt_420_tab[],MATCH(Schnitt_von_bis_420_tab[[#This Row],[Schnitt]],Punkteschnitt_420_tab[Schnitt],0),1)</f>
        <v>291</v>
      </c>
      <c r="G15" s="139">
        <f t="shared" si="0"/>
        <v>283</v>
      </c>
    </row>
    <row r="16" spans="2:7" x14ac:dyDescent="0.25">
      <c r="B16" s="139">
        <v>407</v>
      </c>
      <c r="C16" s="140">
        <f>IF((17/3)-(5*Punkteschnitt_420_tab[[#This Row],[Punkte]]/$B$3)&lt;1,1,TRUNC((17/3)-(5*Punkteschnitt_420_tab[[#This Row],[Punkte]]/$B$3),1))</f>
        <v>1</v>
      </c>
      <c r="E16" s="140">
        <v>2.2999999999999998</v>
      </c>
      <c r="F16" s="139">
        <f>INDEX(Punkteschnitt_420_tab[],MATCH(Schnitt_von_bis_420_tab[[#This Row],[Schnitt]],Punkteschnitt_420_tab[Schnitt],0),1)</f>
        <v>282</v>
      </c>
      <c r="G16" s="139">
        <f t="shared" si="0"/>
        <v>275</v>
      </c>
    </row>
    <row r="17" spans="2:7" x14ac:dyDescent="0.25">
      <c r="B17" s="139">
        <v>406</v>
      </c>
      <c r="C17" s="140">
        <f>IF((17/3)-(5*Punkteschnitt_420_tab[[#This Row],[Punkte]]/$B$3)&lt;1,1,TRUNC((17/3)-(5*Punkteschnitt_420_tab[[#This Row],[Punkte]]/$B$3),1))</f>
        <v>1</v>
      </c>
      <c r="E17" s="140">
        <v>2.4</v>
      </c>
      <c r="F17" s="139">
        <f>INDEX(Punkteschnitt_420_tab[],MATCH(Schnitt_von_bis_420_tab[[#This Row],[Schnitt]],Punkteschnitt_420_tab[Schnitt],0),1)</f>
        <v>274</v>
      </c>
      <c r="G17" s="139">
        <f t="shared" si="0"/>
        <v>267</v>
      </c>
    </row>
    <row r="18" spans="2:7" x14ac:dyDescent="0.25">
      <c r="B18" s="139">
        <v>405</v>
      </c>
      <c r="C18" s="140">
        <f>IF((17/3)-(5*Punkteschnitt_420_tab[[#This Row],[Punkte]]/$B$3)&lt;1,1,TRUNC((17/3)-(5*Punkteschnitt_420_tab[[#This Row],[Punkte]]/$B$3),1))</f>
        <v>1</v>
      </c>
      <c r="E18" s="140">
        <v>2.5</v>
      </c>
      <c r="F18" s="139">
        <f>INDEX(Punkteschnitt_420_tab[],MATCH(Schnitt_von_bis_420_tab[[#This Row],[Schnitt]],Punkteschnitt_420_tab[Schnitt],0),1)</f>
        <v>266</v>
      </c>
      <c r="G18" s="139">
        <f t="shared" si="0"/>
        <v>258</v>
      </c>
    </row>
    <row r="19" spans="2:7" x14ac:dyDescent="0.25">
      <c r="B19" s="139">
        <v>404</v>
      </c>
      <c r="C19" s="140">
        <f>IF((17/3)-(5*Punkteschnitt_420_tab[[#This Row],[Punkte]]/$B$3)&lt;1,1,TRUNC((17/3)-(5*Punkteschnitt_420_tab[[#This Row],[Punkte]]/$B$3),1))</f>
        <v>1</v>
      </c>
      <c r="E19" s="140">
        <v>2.6</v>
      </c>
      <c r="F19" s="139">
        <f>INDEX(Punkteschnitt_420_tab[],MATCH(Schnitt_von_bis_420_tab[[#This Row],[Schnitt]],Punkteschnitt_420_tab[Schnitt],0),1)</f>
        <v>257</v>
      </c>
      <c r="G19" s="139">
        <f t="shared" si="0"/>
        <v>250</v>
      </c>
    </row>
    <row r="20" spans="2:7" x14ac:dyDescent="0.25">
      <c r="B20" s="139">
        <v>403</v>
      </c>
      <c r="C20" s="140">
        <f>IF((17/3)-(5*Punkteschnitt_420_tab[[#This Row],[Punkte]]/$B$3)&lt;1,1,TRUNC((17/3)-(5*Punkteschnitt_420_tab[[#This Row],[Punkte]]/$B$3),1))</f>
        <v>1</v>
      </c>
      <c r="E20" s="140">
        <v>2.7</v>
      </c>
      <c r="F20" s="139">
        <f>INDEX(Punkteschnitt_420_tab[],MATCH(Schnitt_von_bis_420_tab[[#This Row],[Schnitt]],Punkteschnitt_420_tab[Schnitt],0),1)</f>
        <v>249</v>
      </c>
      <c r="G20" s="139">
        <f t="shared" si="0"/>
        <v>241</v>
      </c>
    </row>
    <row r="21" spans="2:7" x14ac:dyDescent="0.25">
      <c r="B21" s="139">
        <v>402</v>
      </c>
      <c r="C21" s="140">
        <f>IF((17/3)-(5*Punkteschnitt_420_tab[[#This Row],[Punkte]]/$B$3)&lt;1,1,TRUNC((17/3)-(5*Punkteschnitt_420_tab[[#This Row],[Punkte]]/$B$3),1))</f>
        <v>1</v>
      </c>
      <c r="E21" s="140">
        <v>2.8</v>
      </c>
      <c r="F21" s="139">
        <f>INDEX(Punkteschnitt_420_tab[],MATCH(Schnitt_von_bis_420_tab[[#This Row],[Schnitt]],Punkteschnitt_420_tab[Schnitt],0),1)</f>
        <v>240</v>
      </c>
      <c r="G21" s="139">
        <f t="shared" si="0"/>
        <v>233</v>
      </c>
    </row>
    <row r="22" spans="2:7" x14ac:dyDescent="0.25">
      <c r="B22" s="139">
        <v>401</v>
      </c>
      <c r="C22" s="140">
        <f>IF((17/3)-(5*Punkteschnitt_420_tab[[#This Row],[Punkte]]/$B$3)&lt;1,1,TRUNC((17/3)-(5*Punkteschnitt_420_tab[[#This Row],[Punkte]]/$B$3),1))</f>
        <v>1</v>
      </c>
      <c r="E22" s="140">
        <v>2.9</v>
      </c>
      <c r="F22" s="139">
        <f>INDEX(Punkteschnitt_420_tab[],MATCH(Schnitt_von_bis_420_tab[[#This Row],[Schnitt]],Punkteschnitt_420_tab[Schnitt],0),1)</f>
        <v>232</v>
      </c>
      <c r="G22" s="139">
        <f t="shared" si="0"/>
        <v>225</v>
      </c>
    </row>
    <row r="23" spans="2:7" x14ac:dyDescent="0.25">
      <c r="B23" s="139">
        <v>400</v>
      </c>
      <c r="C23" s="140">
        <f>IF((17/3)-(5*Punkteschnitt_420_tab[[#This Row],[Punkte]]/$B$3)&lt;1,1,TRUNC((17/3)-(5*Punkteschnitt_420_tab[[#This Row],[Punkte]]/$B$3),1))</f>
        <v>1</v>
      </c>
      <c r="E23" s="140">
        <v>3</v>
      </c>
      <c r="F23" s="139">
        <f>INDEX(Punkteschnitt_420_tab[],MATCH(Schnitt_von_bis_420_tab[[#This Row],[Schnitt]],Punkteschnitt_420_tab[Schnitt],0),1)</f>
        <v>224</v>
      </c>
      <c r="G23" s="139">
        <f t="shared" si="0"/>
        <v>216</v>
      </c>
    </row>
    <row r="24" spans="2:7" x14ac:dyDescent="0.25">
      <c r="B24" s="139">
        <v>399</v>
      </c>
      <c r="C24" s="140">
        <f>IF((17/3)-(5*Punkteschnitt_420_tab[[#This Row],[Punkte]]/$B$3)&lt;1,1,TRUNC((17/3)-(5*Punkteschnitt_420_tab[[#This Row],[Punkte]]/$B$3),1))</f>
        <v>1</v>
      </c>
      <c r="E24" s="140">
        <v>3.1</v>
      </c>
      <c r="F24" s="139">
        <f>INDEX(Punkteschnitt_420_tab[],MATCH(Schnitt_von_bis_420_tab[[#This Row],[Schnitt]],Punkteschnitt_420_tab[Schnitt],0),1)</f>
        <v>215</v>
      </c>
      <c r="G24" s="139">
        <f t="shared" si="0"/>
        <v>208</v>
      </c>
    </row>
    <row r="25" spans="2:7" x14ac:dyDescent="0.25">
      <c r="B25" s="139">
        <v>398</v>
      </c>
      <c r="C25" s="140">
        <f>IF((17/3)-(5*Punkteschnitt_420_tab[[#This Row],[Punkte]]/$B$3)&lt;1,1,TRUNC((17/3)-(5*Punkteschnitt_420_tab[[#This Row],[Punkte]]/$B$3),1))</f>
        <v>1</v>
      </c>
      <c r="E25" s="140">
        <v>3.2</v>
      </c>
      <c r="F25" s="139">
        <f>INDEX(Punkteschnitt_420_tab[],MATCH(Schnitt_von_bis_420_tab[[#This Row],[Schnitt]],Punkteschnitt_420_tab[Schnitt],0),1)</f>
        <v>207</v>
      </c>
      <c r="G25" s="139">
        <f t="shared" si="0"/>
        <v>199</v>
      </c>
    </row>
    <row r="26" spans="2:7" x14ac:dyDescent="0.25">
      <c r="B26" s="139">
        <v>397</v>
      </c>
      <c r="C26" s="140">
        <f>IF((17/3)-(5*Punkteschnitt_420_tab[[#This Row],[Punkte]]/$B$3)&lt;1,1,TRUNC((17/3)-(5*Punkteschnitt_420_tab[[#This Row],[Punkte]]/$B$3),1))</f>
        <v>1</v>
      </c>
      <c r="E26" s="140">
        <v>3.3</v>
      </c>
      <c r="F26" s="139">
        <f>INDEX(Punkteschnitt_420_tab[],MATCH(Schnitt_von_bis_420_tab[[#This Row],[Schnitt]],Punkteschnitt_420_tab[Schnitt],0),1)</f>
        <v>198</v>
      </c>
      <c r="G26" s="139">
        <f t="shared" si="0"/>
        <v>191</v>
      </c>
    </row>
    <row r="27" spans="2:7" x14ac:dyDescent="0.25">
      <c r="B27" s="139">
        <v>396</v>
      </c>
      <c r="C27" s="140">
        <f>IF((17/3)-(5*Punkteschnitt_420_tab[[#This Row],[Punkte]]/$B$3)&lt;1,1,TRUNC((17/3)-(5*Punkteschnitt_420_tab[[#This Row],[Punkte]]/$B$3),1))</f>
        <v>1</v>
      </c>
      <c r="E27" s="140">
        <v>3.4</v>
      </c>
      <c r="F27" s="139">
        <f>INDEX(Punkteschnitt_420_tab[],MATCH(Schnitt_von_bis_420_tab[[#This Row],[Schnitt]],Punkteschnitt_420_tab[Schnitt],0),1)</f>
        <v>190</v>
      </c>
      <c r="G27" s="139">
        <f t="shared" si="0"/>
        <v>183</v>
      </c>
    </row>
    <row r="28" spans="2:7" x14ac:dyDescent="0.25">
      <c r="B28" s="139">
        <v>395</v>
      </c>
      <c r="C28" s="140">
        <f>IF((17/3)-(5*Punkteschnitt_420_tab[[#This Row],[Punkte]]/$B$3)&lt;1,1,TRUNC((17/3)-(5*Punkteschnitt_420_tab[[#This Row],[Punkte]]/$B$3),1))</f>
        <v>1</v>
      </c>
      <c r="E28" s="140">
        <v>3.5</v>
      </c>
      <c r="F28" s="139">
        <f>INDEX(Punkteschnitt_420_tab[],MATCH(Schnitt_von_bis_420_tab[[#This Row],[Schnitt]],Punkteschnitt_420_tab[Schnitt],0),1)</f>
        <v>182</v>
      </c>
      <c r="G28" s="139">
        <f t="shared" si="0"/>
        <v>174</v>
      </c>
    </row>
    <row r="29" spans="2:7" x14ac:dyDescent="0.25">
      <c r="B29" s="139">
        <v>394</v>
      </c>
      <c r="C29" s="140">
        <f>IF((17/3)-(5*Punkteschnitt_420_tab[[#This Row],[Punkte]]/$B$3)&lt;1,1,TRUNC((17/3)-(5*Punkteschnitt_420_tab[[#This Row],[Punkte]]/$B$3),1))</f>
        <v>1</v>
      </c>
      <c r="E29" s="140">
        <v>3.6</v>
      </c>
      <c r="F29" s="139">
        <f>INDEX(Punkteschnitt_420_tab[],MATCH(Schnitt_von_bis_420_tab[[#This Row],[Schnitt]],Punkteschnitt_420_tab[Schnitt],0),1)</f>
        <v>173</v>
      </c>
      <c r="G29" s="139">
        <f t="shared" si="0"/>
        <v>166</v>
      </c>
    </row>
    <row r="30" spans="2:7" x14ac:dyDescent="0.25">
      <c r="B30" s="139">
        <v>393</v>
      </c>
      <c r="C30" s="140">
        <f>IF((17/3)-(5*Punkteschnitt_420_tab[[#This Row],[Punkte]]/$B$3)&lt;1,1,TRUNC((17/3)-(5*Punkteschnitt_420_tab[[#This Row],[Punkte]]/$B$3),1))</f>
        <v>1</v>
      </c>
      <c r="E30" s="140">
        <v>3.7</v>
      </c>
      <c r="F30" s="139">
        <f>INDEX(Punkteschnitt_420_tab[],MATCH(Schnitt_von_bis_420_tab[[#This Row],[Schnitt]],Punkteschnitt_420_tab[Schnitt],0),1)</f>
        <v>165</v>
      </c>
      <c r="G30" s="139">
        <f t="shared" si="0"/>
        <v>157</v>
      </c>
    </row>
    <row r="31" spans="2:7" x14ac:dyDescent="0.25">
      <c r="B31" s="139">
        <v>392</v>
      </c>
      <c r="C31" s="140">
        <f>IF((17/3)-(5*Punkteschnitt_420_tab[[#This Row],[Punkte]]/$B$3)&lt;1,1,TRUNC((17/3)-(5*Punkteschnitt_420_tab[[#This Row],[Punkte]]/$B$3),1))</f>
        <v>1</v>
      </c>
      <c r="E31" s="140">
        <v>3.8</v>
      </c>
      <c r="F31" s="139">
        <f>INDEX(Punkteschnitt_420_tab[],MATCH(Schnitt_von_bis_420_tab[[#This Row],[Schnitt]],Punkteschnitt_420_tab[Schnitt],0),1)</f>
        <v>156</v>
      </c>
      <c r="G31" s="139">
        <f t="shared" si="0"/>
        <v>149</v>
      </c>
    </row>
    <row r="32" spans="2:7" x14ac:dyDescent="0.25">
      <c r="B32" s="139">
        <v>391</v>
      </c>
      <c r="C32" s="140">
        <f>IF((17/3)-(5*Punkteschnitt_420_tab[[#This Row],[Punkte]]/$B$3)&lt;1,1,TRUNC((17/3)-(5*Punkteschnitt_420_tab[[#This Row],[Punkte]]/$B$3),1))</f>
        <v>1</v>
      </c>
      <c r="E32" s="140">
        <v>3.9</v>
      </c>
      <c r="F32" s="139">
        <f>INDEX(Punkteschnitt_420_tab[],MATCH(Schnitt_von_bis_420_tab[[#This Row],[Schnitt]],Punkteschnitt_420_tab[Schnitt],0),1)</f>
        <v>148</v>
      </c>
      <c r="G32" s="139">
        <f t="shared" si="0"/>
        <v>141</v>
      </c>
    </row>
    <row r="33" spans="2:7" x14ac:dyDescent="0.25">
      <c r="B33" s="139">
        <v>390</v>
      </c>
      <c r="C33" s="140">
        <f>IF((17/3)-(5*Punkteschnitt_420_tab[[#This Row],[Punkte]]/$B$3)&lt;1,1,TRUNC((17/3)-(5*Punkteschnitt_420_tab[[#This Row],[Punkte]]/$B$3),1))</f>
        <v>1</v>
      </c>
      <c r="E33" s="140">
        <v>4</v>
      </c>
      <c r="F33" s="139">
        <f>INDEX(Punkteschnitt_420_tab[],MATCH(Schnitt_von_bis_420_tab[[#This Row],[Schnitt]],Punkteschnitt_420_tab[Schnitt],0),1)</f>
        <v>140</v>
      </c>
      <c r="G33" s="139">
        <f t="shared" si="0"/>
        <v>132</v>
      </c>
    </row>
    <row r="34" spans="2:7" x14ac:dyDescent="0.25">
      <c r="B34" s="139">
        <v>389</v>
      </c>
      <c r="C34" s="140">
        <f>IF((17/3)-(5*Punkteschnitt_420_tab[[#This Row],[Punkte]]/$B$3)&lt;1,1,TRUNC((17/3)-(5*Punkteschnitt_420_tab[[#This Row],[Punkte]]/$B$3),1))</f>
        <v>1</v>
      </c>
      <c r="E34" s="140">
        <v>4.0999999999999996</v>
      </c>
      <c r="F34" s="139">
        <f>INDEX(Punkteschnitt_420_tab[],MATCH(Schnitt_von_bis_420_tab[[#This Row],[Schnitt]],Punkteschnitt_420_tab[Schnitt],0),1)</f>
        <v>131</v>
      </c>
      <c r="G34" s="139">
        <f t="shared" si="0"/>
        <v>124</v>
      </c>
    </row>
    <row r="35" spans="2:7" x14ac:dyDescent="0.25">
      <c r="B35" s="139">
        <v>388</v>
      </c>
      <c r="C35" s="140">
        <f>IF((17/3)-(5*Punkteschnitt_420_tab[[#This Row],[Punkte]]/$B$3)&lt;1,1,TRUNC((17/3)-(5*Punkteschnitt_420_tab[[#This Row],[Punkte]]/$B$3),1))</f>
        <v>1</v>
      </c>
      <c r="E35" s="140">
        <v>4.2</v>
      </c>
      <c r="F35" s="139">
        <f>INDEX(Punkteschnitt_420_tab[],MATCH(Schnitt_von_bis_420_tab[[#This Row],[Schnitt]],Punkteschnitt_420_tab[Schnitt],0),1)</f>
        <v>123</v>
      </c>
      <c r="G35" s="139">
        <f t="shared" si="0"/>
        <v>115</v>
      </c>
    </row>
    <row r="36" spans="2:7" x14ac:dyDescent="0.25">
      <c r="B36" s="139">
        <v>387</v>
      </c>
      <c r="C36" s="140">
        <f>IF((17/3)-(5*Punkteschnitt_420_tab[[#This Row],[Punkte]]/$B$3)&lt;1,1,TRUNC((17/3)-(5*Punkteschnitt_420_tab[[#This Row],[Punkte]]/$B$3),1))</f>
        <v>1</v>
      </c>
      <c r="E36" s="140">
        <v>4.3</v>
      </c>
      <c r="F36" s="139">
        <f>INDEX(Punkteschnitt_420_tab[],MATCH(Schnitt_von_bis_420_tab[[#This Row],[Schnitt]],Punkteschnitt_420_tab[Schnitt],0),1)</f>
        <v>114</v>
      </c>
      <c r="G36" s="139">
        <f t="shared" si="0"/>
        <v>107</v>
      </c>
    </row>
    <row r="37" spans="2:7" x14ac:dyDescent="0.25">
      <c r="B37" s="139">
        <v>386</v>
      </c>
      <c r="C37" s="140">
        <f>IF((17/3)-(5*Punkteschnitt_420_tab[[#This Row],[Punkte]]/$B$3)&lt;1,1,TRUNC((17/3)-(5*Punkteschnitt_420_tab[[#This Row],[Punkte]]/$B$3),1))</f>
        <v>1</v>
      </c>
      <c r="E37" s="140">
        <v>4.4000000000000004</v>
      </c>
      <c r="F37" s="139">
        <f>INDEX(Punkteschnitt_420_tab[],MATCH(Schnitt_von_bis_420_tab[[#This Row],[Schnitt]],Punkteschnitt_420_tab[Schnitt],0),1)</f>
        <v>106</v>
      </c>
      <c r="G37" s="139">
        <f t="shared" si="0"/>
        <v>99</v>
      </c>
    </row>
    <row r="38" spans="2:7" x14ac:dyDescent="0.25">
      <c r="B38" s="139">
        <v>385</v>
      </c>
      <c r="C38" s="140">
        <f>IF((17/3)-(5*Punkteschnitt_420_tab[[#This Row],[Punkte]]/$B$3)&lt;1,1,TRUNC((17/3)-(5*Punkteschnitt_420_tab[[#This Row],[Punkte]]/$B$3),1))</f>
        <v>1</v>
      </c>
      <c r="E38" s="140">
        <v>4.5</v>
      </c>
      <c r="F38" s="139">
        <f>INDEX(Punkteschnitt_420_tab[],MATCH(Schnitt_von_bis_420_tab[[#This Row],[Schnitt]],Punkteschnitt_420_tab[Schnitt],0),1)</f>
        <v>98</v>
      </c>
      <c r="G38" s="139">
        <f t="shared" si="0"/>
        <v>90</v>
      </c>
    </row>
    <row r="39" spans="2:7" x14ac:dyDescent="0.25">
      <c r="B39" s="139">
        <v>384</v>
      </c>
      <c r="C39" s="140">
        <f>IF((17/3)-(5*Punkteschnitt_420_tab[[#This Row],[Punkte]]/$B$3)&lt;1,1,TRUNC((17/3)-(5*Punkteschnitt_420_tab[[#This Row],[Punkte]]/$B$3),1))</f>
        <v>1</v>
      </c>
      <c r="E39" s="140">
        <v>4.5999999999999996</v>
      </c>
      <c r="F39" s="139">
        <f>INDEX(Punkteschnitt_420_tab[],MATCH(Schnitt_von_bis_420_tab[[#This Row],[Schnitt]],Punkteschnitt_420_tab[Schnitt],0),1)</f>
        <v>89</v>
      </c>
      <c r="G39" s="139">
        <f t="shared" si="0"/>
        <v>82</v>
      </c>
    </row>
    <row r="40" spans="2:7" x14ac:dyDescent="0.25">
      <c r="B40" s="139">
        <v>383</v>
      </c>
      <c r="C40" s="140">
        <f>IF((17/3)-(5*Punkteschnitt_420_tab[[#This Row],[Punkte]]/$B$3)&lt;1,1,TRUNC((17/3)-(5*Punkteschnitt_420_tab[[#This Row],[Punkte]]/$B$3),1))</f>
        <v>1.1000000000000001</v>
      </c>
      <c r="E40" s="140">
        <v>4.7</v>
      </c>
      <c r="F40" s="139">
        <f>INDEX(Punkteschnitt_420_tab[],MATCH(Schnitt_von_bis_420_tab[[#This Row],[Schnitt]],Punkteschnitt_420_tab[Schnitt],0),1)</f>
        <v>81</v>
      </c>
      <c r="G40" s="139">
        <f t="shared" si="0"/>
        <v>73</v>
      </c>
    </row>
    <row r="41" spans="2:7" x14ac:dyDescent="0.25">
      <c r="B41" s="139">
        <v>382</v>
      </c>
      <c r="C41" s="140">
        <f>IF((17/3)-(5*Punkteschnitt_420_tab[[#This Row],[Punkte]]/$B$3)&lt;1,1,TRUNC((17/3)-(5*Punkteschnitt_420_tab[[#This Row],[Punkte]]/$B$3),1))</f>
        <v>1.1000000000000001</v>
      </c>
      <c r="E41" s="140">
        <v>4.8</v>
      </c>
      <c r="F41" s="139">
        <f>INDEX(Punkteschnitt_420_tab[],MATCH(Schnitt_von_bis_420_tab[[#This Row],[Schnitt]],Punkteschnitt_420_tab[Schnitt],0),1)</f>
        <v>72</v>
      </c>
      <c r="G41" s="139">
        <f t="shared" si="0"/>
        <v>65</v>
      </c>
    </row>
    <row r="42" spans="2:7" x14ac:dyDescent="0.25">
      <c r="B42" s="139">
        <v>381</v>
      </c>
      <c r="C42" s="140">
        <f>IF((17/3)-(5*Punkteschnitt_420_tab[[#This Row],[Punkte]]/$B$3)&lt;1,1,TRUNC((17/3)-(5*Punkteschnitt_420_tab[[#This Row],[Punkte]]/$B$3),1))</f>
        <v>1.1000000000000001</v>
      </c>
      <c r="E42" s="140">
        <v>4.9000000000000004</v>
      </c>
      <c r="F42" s="139">
        <f>INDEX(Punkteschnitt_420_tab[],MATCH(Schnitt_von_bis_420_tab[[#This Row],[Schnitt]],Punkteschnitt_420_tab[Schnitt],0),1)</f>
        <v>64</v>
      </c>
      <c r="G42" s="139">
        <f t="shared" si="0"/>
        <v>57</v>
      </c>
    </row>
    <row r="43" spans="2:7" x14ac:dyDescent="0.25">
      <c r="B43" s="139">
        <v>380</v>
      </c>
      <c r="C43" s="140">
        <f>IF((17/3)-(5*Punkteschnitt_420_tab[[#This Row],[Punkte]]/$B$3)&lt;1,1,TRUNC((17/3)-(5*Punkteschnitt_420_tab[[#This Row],[Punkte]]/$B$3),1))</f>
        <v>1.1000000000000001</v>
      </c>
      <c r="E43" s="140">
        <v>5</v>
      </c>
      <c r="F43" s="139">
        <f>INDEX(Punkteschnitt_420_tab[],MATCH(Schnitt_von_bis_420_tab[[#This Row],[Schnitt]],Punkteschnitt_420_tab[Schnitt],0),1)</f>
        <v>56</v>
      </c>
      <c r="G43" s="139">
        <f t="shared" si="0"/>
        <v>48</v>
      </c>
    </row>
    <row r="44" spans="2:7" x14ac:dyDescent="0.25">
      <c r="B44" s="139">
        <v>379</v>
      </c>
      <c r="C44" s="140">
        <f>IF((17/3)-(5*Punkteschnitt_420_tab[[#This Row],[Punkte]]/$B$3)&lt;1,1,TRUNC((17/3)-(5*Punkteschnitt_420_tab[[#This Row],[Punkte]]/$B$3),1))</f>
        <v>1.1000000000000001</v>
      </c>
      <c r="E44" s="140">
        <v>5.0999999999999996</v>
      </c>
      <c r="F44" s="139">
        <f>INDEX(Punkteschnitt_420_tab[],MATCH(Schnitt_von_bis_420_tab[[#This Row],[Schnitt]],Punkteschnitt_420_tab[Schnitt],0),1)</f>
        <v>47</v>
      </c>
      <c r="G44" s="139">
        <f t="shared" si="0"/>
        <v>40</v>
      </c>
    </row>
    <row r="45" spans="2:7" x14ac:dyDescent="0.25">
      <c r="B45" s="139">
        <v>378</v>
      </c>
      <c r="C45" s="140">
        <f>IF((17/3)-(5*Punkteschnitt_420_tab[[#This Row],[Punkte]]/$B$3)&lt;1,1,TRUNC((17/3)-(5*Punkteschnitt_420_tab[[#This Row],[Punkte]]/$B$3),1))</f>
        <v>1.1000000000000001</v>
      </c>
      <c r="E45" s="140">
        <v>5.2</v>
      </c>
      <c r="F45" s="139">
        <f>INDEX(Punkteschnitt_420_tab[],MATCH(Schnitt_von_bis_420_tab[[#This Row],[Schnitt]],Punkteschnitt_420_tab[Schnitt],0),1)</f>
        <v>39</v>
      </c>
      <c r="G45" s="139">
        <f t="shared" si="0"/>
        <v>31</v>
      </c>
    </row>
    <row r="46" spans="2:7" x14ac:dyDescent="0.25">
      <c r="B46" s="139">
        <v>377</v>
      </c>
      <c r="C46" s="140">
        <f>IF((17/3)-(5*Punkteschnitt_420_tab[[#This Row],[Punkte]]/$B$3)&lt;1,1,TRUNC((17/3)-(5*Punkteschnitt_420_tab[[#This Row],[Punkte]]/$B$3),1))</f>
        <v>1.1000000000000001</v>
      </c>
      <c r="E46" s="140">
        <v>5.3</v>
      </c>
      <c r="F46" s="139">
        <f>INDEX(Punkteschnitt_420_tab[],MATCH(Schnitt_von_bis_420_tab[[#This Row],[Schnitt]],Punkteschnitt_420_tab[Schnitt],0),1)</f>
        <v>30</v>
      </c>
      <c r="G46" s="139">
        <f t="shared" si="0"/>
        <v>23</v>
      </c>
    </row>
    <row r="47" spans="2:7" x14ac:dyDescent="0.25">
      <c r="B47" s="139">
        <v>376</v>
      </c>
      <c r="C47" s="140">
        <f>IF((17/3)-(5*Punkteschnitt_420_tab[[#This Row],[Punkte]]/$B$3)&lt;1,1,TRUNC((17/3)-(5*Punkteschnitt_420_tab[[#This Row],[Punkte]]/$B$3),1))</f>
        <v>1.1000000000000001</v>
      </c>
      <c r="E47" s="140">
        <v>5.4</v>
      </c>
      <c r="F47" s="139">
        <f>INDEX(Punkteschnitt_420_tab[],MATCH(Schnitt_von_bis_420_tab[[#This Row],[Schnitt]],Punkteschnitt_420_tab[Schnitt],0),1)</f>
        <v>22</v>
      </c>
      <c r="G47" s="139">
        <f t="shared" si="0"/>
        <v>15</v>
      </c>
    </row>
    <row r="48" spans="2:7" x14ac:dyDescent="0.25">
      <c r="B48" s="139">
        <v>375</v>
      </c>
      <c r="C48" s="140">
        <f>IF((17/3)-(5*Punkteschnitt_420_tab[[#This Row],[Punkte]]/$B$3)&lt;1,1,TRUNC((17/3)-(5*Punkteschnitt_420_tab[[#This Row],[Punkte]]/$B$3),1))</f>
        <v>1.2</v>
      </c>
      <c r="E48" s="140">
        <v>5.5</v>
      </c>
      <c r="F48" s="139">
        <f>INDEX(Punkteschnitt_420_tab[],MATCH(Schnitt_von_bis_420_tab[[#This Row],[Schnitt]],Punkteschnitt_420_tab[Schnitt],0),1)</f>
        <v>14</v>
      </c>
      <c r="G48" s="139">
        <f t="shared" si="0"/>
        <v>6</v>
      </c>
    </row>
    <row r="49" spans="2:7" x14ac:dyDescent="0.25">
      <c r="B49" s="139">
        <v>374</v>
      </c>
      <c r="C49" s="140">
        <f>IF((17/3)-(5*Punkteschnitt_420_tab[[#This Row],[Punkte]]/$B$3)&lt;1,1,TRUNC((17/3)-(5*Punkteschnitt_420_tab[[#This Row],[Punkte]]/$B$3),1))</f>
        <v>1.2</v>
      </c>
      <c r="E49" s="140">
        <v>5.6</v>
      </c>
      <c r="F49" s="139">
        <f>INDEX(Punkteschnitt_420_tab[],MATCH(Schnitt_von_bis_420_tab[[#This Row],[Schnitt]],Punkteschnitt_420_tab[Schnitt],0),1)</f>
        <v>5</v>
      </c>
      <c r="G49" s="139">
        <f t="shared" si="0"/>
        <v>0</v>
      </c>
    </row>
    <row r="50" spans="2:7" x14ac:dyDescent="0.25">
      <c r="B50" s="139">
        <v>373</v>
      </c>
      <c r="C50" s="140">
        <f>IF((17/3)-(5*Punkteschnitt_420_tab[[#This Row],[Punkte]]/$B$3)&lt;1,1,TRUNC((17/3)-(5*Punkteschnitt_420_tab[[#This Row],[Punkte]]/$B$3),1))</f>
        <v>1.2</v>
      </c>
      <c r="E50" s="140"/>
    </row>
    <row r="51" spans="2:7" x14ac:dyDescent="0.25">
      <c r="B51" s="139">
        <v>372</v>
      </c>
      <c r="C51" s="140">
        <f>IF((17/3)-(5*Punkteschnitt_420_tab[[#This Row],[Punkte]]/$B$3)&lt;1,1,TRUNC((17/3)-(5*Punkteschnitt_420_tab[[#This Row],[Punkte]]/$B$3),1))</f>
        <v>1.2</v>
      </c>
      <c r="E51" s="140"/>
    </row>
    <row r="52" spans="2:7" x14ac:dyDescent="0.25">
      <c r="B52" s="139">
        <v>371</v>
      </c>
      <c r="C52" s="140">
        <f>IF((17/3)-(5*Punkteschnitt_420_tab[[#This Row],[Punkte]]/$B$3)&lt;1,1,TRUNC((17/3)-(5*Punkteschnitt_420_tab[[#This Row],[Punkte]]/$B$3),1))</f>
        <v>1.2</v>
      </c>
      <c r="E52" s="140"/>
    </row>
    <row r="53" spans="2:7" x14ac:dyDescent="0.25">
      <c r="B53" s="139">
        <v>370</v>
      </c>
      <c r="C53" s="140">
        <f>IF((17/3)-(5*Punkteschnitt_420_tab[[#This Row],[Punkte]]/$B$3)&lt;1,1,TRUNC((17/3)-(5*Punkteschnitt_420_tab[[#This Row],[Punkte]]/$B$3),1))</f>
        <v>1.2</v>
      </c>
    </row>
    <row r="54" spans="2:7" x14ac:dyDescent="0.25">
      <c r="B54" s="139">
        <v>369</v>
      </c>
      <c r="C54" s="140">
        <f>IF((17/3)-(5*Punkteschnitt_420_tab[[#This Row],[Punkte]]/$B$3)&lt;1,1,TRUNC((17/3)-(5*Punkteschnitt_420_tab[[#This Row],[Punkte]]/$B$3),1))</f>
        <v>1.2</v>
      </c>
    </row>
    <row r="55" spans="2:7" x14ac:dyDescent="0.25">
      <c r="B55" s="139">
        <v>368</v>
      </c>
      <c r="C55" s="140">
        <f>IF((17/3)-(5*Punkteschnitt_420_tab[[#This Row],[Punkte]]/$B$3)&lt;1,1,TRUNC((17/3)-(5*Punkteschnitt_420_tab[[#This Row],[Punkte]]/$B$3),1))</f>
        <v>1.2</v>
      </c>
    </row>
    <row r="56" spans="2:7" x14ac:dyDescent="0.25">
      <c r="B56" s="139">
        <v>367</v>
      </c>
      <c r="C56" s="140">
        <f>IF((17/3)-(5*Punkteschnitt_420_tab[[#This Row],[Punkte]]/$B$3)&lt;1,1,TRUNC((17/3)-(5*Punkteschnitt_420_tab[[#This Row],[Punkte]]/$B$3),1))</f>
        <v>1.2</v>
      </c>
    </row>
    <row r="57" spans="2:7" x14ac:dyDescent="0.25">
      <c r="B57" s="139">
        <v>366</v>
      </c>
      <c r="C57" s="140">
        <f>IF((17/3)-(5*Punkteschnitt_420_tab[[#This Row],[Punkte]]/$B$3)&lt;1,1,TRUNC((17/3)-(5*Punkteschnitt_420_tab[[#This Row],[Punkte]]/$B$3),1))</f>
        <v>1.3</v>
      </c>
    </row>
    <row r="58" spans="2:7" x14ac:dyDescent="0.25">
      <c r="B58" s="139">
        <v>365</v>
      </c>
      <c r="C58" s="140">
        <f>IF((17/3)-(5*Punkteschnitt_420_tab[[#This Row],[Punkte]]/$B$3)&lt;1,1,TRUNC((17/3)-(5*Punkteschnitt_420_tab[[#This Row],[Punkte]]/$B$3),1))</f>
        <v>1.3</v>
      </c>
    </row>
    <row r="59" spans="2:7" x14ac:dyDescent="0.25">
      <c r="B59" s="139">
        <v>364</v>
      </c>
      <c r="C59" s="140">
        <f>IF((17/3)-(5*Punkteschnitt_420_tab[[#This Row],[Punkte]]/$B$3)&lt;1,1,TRUNC((17/3)-(5*Punkteschnitt_420_tab[[#This Row],[Punkte]]/$B$3),1))</f>
        <v>1.3</v>
      </c>
    </row>
    <row r="60" spans="2:7" x14ac:dyDescent="0.25">
      <c r="B60" s="139">
        <v>363</v>
      </c>
      <c r="C60" s="140">
        <f>IF((17/3)-(5*Punkteschnitt_420_tab[[#This Row],[Punkte]]/$B$3)&lt;1,1,TRUNC((17/3)-(5*Punkteschnitt_420_tab[[#This Row],[Punkte]]/$B$3),1))</f>
        <v>1.3</v>
      </c>
    </row>
    <row r="61" spans="2:7" x14ac:dyDescent="0.25">
      <c r="B61" s="139">
        <v>362</v>
      </c>
      <c r="C61" s="140">
        <f>IF((17/3)-(5*Punkteschnitt_420_tab[[#This Row],[Punkte]]/$B$3)&lt;1,1,TRUNC((17/3)-(5*Punkteschnitt_420_tab[[#This Row],[Punkte]]/$B$3),1))</f>
        <v>1.3</v>
      </c>
    </row>
    <row r="62" spans="2:7" x14ac:dyDescent="0.25">
      <c r="B62" s="139">
        <v>361</v>
      </c>
      <c r="C62" s="140">
        <f>IF((17/3)-(5*Punkteschnitt_420_tab[[#This Row],[Punkte]]/$B$3)&lt;1,1,TRUNC((17/3)-(5*Punkteschnitt_420_tab[[#This Row],[Punkte]]/$B$3),1))</f>
        <v>1.3</v>
      </c>
    </row>
    <row r="63" spans="2:7" x14ac:dyDescent="0.25">
      <c r="B63" s="139">
        <v>360</v>
      </c>
      <c r="C63" s="140">
        <f>IF((17/3)-(5*Punkteschnitt_420_tab[[#This Row],[Punkte]]/$B$3)&lt;1,1,TRUNC((17/3)-(5*Punkteschnitt_420_tab[[#This Row],[Punkte]]/$B$3),1))</f>
        <v>1.3</v>
      </c>
    </row>
    <row r="64" spans="2:7" x14ac:dyDescent="0.25">
      <c r="B64" s="139">
        <v>359</v>
      </c>
      <c r="C64" s="140">
        <f>IF((17/3)-(5*Punkteschnitt_420_tab[[#This Row],[Punkte]]/$B$3)&lt;1,1,TRUNC((17/3)-(5*Punkteschnitt_420_tab[[#This Row],[Punkte]]/$B$3),1))</f>
        <v>1.3</v>
      </c>
    </row>
    <row r="65" spans="2:3" x14ac:dyDescent="0.25">
      <c r="B65" s="139">
        <v>358</v>
      </c>
      <c r="C65" s="140">
        <f>IF((17/3)-(5*Punkteschnitt_420_tab[[#This Row],[Punkte]]/$B$3)&lt;1,1,TRUNC((17/3)-(5*Punkteschnitt_420_tab[[#This Row],[Punkte]]/$B$3),1))</f>
        <v>1.4</v>
      </c>
    </row>
    <row r="66" spans="2:3" x14ac:dyDescent="0.25">
      <c r="B66" s="139">
        <v>357</v>
      </c>
      <c r="C66" s="140">
        <f>IF((17/3)-(5*Punkteschnitt_420_tab[[#This Row],[Punkte]]/$B$3)&lt;1,1,TRUNC((17/3)-(5*Punkteschnitt_420_tab[[#This Row],[Punkte]]/$B$3),1))</f>
        <v>1.4</v>
      </c>
    </row>
    <row r="67" spans="2:3" x14ac:dyDescent="0.25">
      <c r="B67" s="139">
        <v>356</v>
      </c>
      <c r="C67" s="140">
        <f>IF((17/3)-(5*Punkteschnitt_420_tab[[#This Row],[Punkte]]/$B$3)&lt;1,1,TRUNC((17/3)-(5*Punkteschnitt_420_tab[[#This Row],[Punkte]]/$B$3),1))</f>
        <v>1.4</v>
      </c>
    </row>
    <row r="68" spans="2:3" x14ac:dyDescent="0.25">
      <c r="B68" s="139">
        <v>355</v>
      </c>
      <c r="C68" s="140">
        <f>IF((17/3)-(5*Punkteschnitt_420_tab[[#This Row],[Punkte]]/$B$3)&lt;1,1,TRUNC((17/3)-(5*Punkteschnitt_420_tab[[#This Row],[Punkte]]/$B$3),1))</f>
        <v>1.4</v>
      </c>
    </row>
    <row r="69" spans="2:3" x14ac:dyDescent="0.25">
      <c r="B69" s="139">
        <v>354</v>
      </c>
      <c r="C69" s="140">
        <f>IF((17/3)-(5*Punkteschnitt_420_tab[[#This Row],[Punkte]]/$B$3)&lt;1,1,TRUNC((17/3)-(5*Punkteschnitt_420_tab[[#This Row],[Punkte]]/$B$3),1))</f>
        <v>1.4</v>
      </c>
    </row>
    <row r="70" spans="2:3" x14ac:dyDescent="0.25">
      <c r="B70" s="139">
        <v>353</v>
      </c>
      <c r="C70" s="140">
        <f>IF((17/3)-(5*Punkteschnitt_420_tab[[#This Row],[Punkte]]/$B$3)&lt;1,1,TRUNC((17/3)-(5*Punkteschnitt_420_tab[[#This Row],[Punkte]]/$B$3),1))</f>
        <v>1.4</v>
      </c>
    </row>
    <row r="71" spans="2:3" x14ac:dyDescent="0.25">
      <c r="B71" s="139">
        <v>352</v>
      </c>
      <c r="C71" s="140">
        <f>IF((17/3)-(5*Punkteschnitt_420_tab[[#This Row],[Punkte]]/$B$3)&lt;1,1,TRUNC((17/3)-(5*Punkteschnitt_420_tab[[#This Row],[Punkte]]/$B$3),1))</f>
        <v>1.4</v>
      </c>
    </row>
    <row r="72" spans="2:3" x14ac:dyDescent="0.25">
      <c r="B72" s="139">
        <v>351</v>
      </c>
      <c r="C72" s="140">
        <f>IF((17/3)-(5*Punkteschnitt_420_tab[[#This Row],[Punkte]]/$B$3)&lt;1,1,TRUNC((17/3)-(5*Punkteschnitt_420_tab[[#This Row],[Punkte]]/$B$3),1))</f>
        <v>1.4</v>
      </c>
    </row>
    <row r="73" spans="2:3" x14ac:dyDescent="0.25">
      <c r="B73" s="139">
        <v>350</v>
      </c>
      <c r="C73" s="140">
        <f>IF((17/3)-(5*Punkteschnitt_420_tab[[#This Row],[Punkte]]/$B$3)&lt;1,1,TRUNC((17/3)-(5*Punkteschnitt_420_tab[[#This Row],[Punkte]]/$B$3),1))</f>
        <v>1.5</v>
      </c>
    </row>
    <row r="74" spans="2:3" x14ac:dyDescent="0.25">
      <c r="B74" s="139">
        <v>349</v>
      </c>
      <c r="C74" s="140">
        <f>IF((17/3)-(5*Punkteschnitt_420_tab[[#This Row],[Punkte]]/$B$3)&lt;1,1,TRUNC((17/3)-(5*Punkteschnitt_420_tab[[#This Row],[Punkte]]/$B$3),1))</f>
        <v>1.5</v>
      </c>
    </row>
    <row r="75" spans="2:3" x14ac:dyDescent="0.25">
      <c r="B75" s="139">
        <v>348</v>
      </c>
      <c r="C75" s="140">
        <f>IF((17/3)-(5*Punkteschnitt_420_tab[[#This Row],[Punkte]]/$B$3)&lt;1,1,TRUNC((17/3)-(5*Punkteschnitt_420_tab[[#This Row],[Punkte]]/$B$3),1))</f>
        <v>1.5</v>
      </c>
    </row>
    <row r="76" spans="2:3" x14ac:dyDescent="0.25">
      <c r="B76" s="139">
        <v>347</v>
      </c>
      <c r="C76" s="140">
        <f>IF((17/3)-(5*Punkteschnitt_420_tab[[#This Row],[Punkte]]/$B$3)&lt;1,1,TRUNC((17/3)-(5*Punkteschnitt_420_tab[[#This Row],[Punkte]]/$B$3),1))</f>
        <v>1.5</v>
      </c>
    </row>
    <row r="77" spans="2:3" x14ac:dyDescent="0.25">
      <c r="B77" s="139">
        <v>346</v>
      </c>
      <c r="C77" s="140">
        <f>IF((17/3)-(5*Punkteschnitt_420_tab[[#This Row],[Punkte]]/$B$3)&lt;1,1,TRUNC((17/3)-(5*Punkteschnitt_420_tab[[#This Row],[Punkte]]/$B$3),1))</f>
        <v>1.5</v>
      </c>
    </row>
    <row r="78" spans="2:3" x14ac:dyDescent="0.25">
      <c r="B78" s="139">
        <v>345</v>
      </c>
      <c r="C78" s="140">
        <f>IF((17/3)-(5*Punkteschnitt_420_tab[[#This Row],[Punkte]]/$B$3)&lt;1,1,TRUNC((17/3)-(5*Punkteschnitt_420_tab[[#This Row],[Punkte]]/$B$3),1))</f>
        <v>1.5</v>
      </c>
    </row>
    <row r="79" spans="2:3" x14ac:dyDescent="0.25">
      <c r="B79" s="139">
        <v>344</v>
      </c>
      <c r="C79" s="140">
        <f>IF((17/3)-(5*Punkteschnitt_420_tab[[#This Row],[Punkte]]/$B$3)&lt;1,1,TRUNC((17/3)-(5*Punkteschnitt_420_tab[[#This Row],[Punkte]]/$B$3),1))</f>
        <v>1.5</v>
      </c>
    </row>
    <row r="80" spans="2:3" x14ac:dyDescent="0.25">
      <c r="B80" s="139">
        <v>343</v>
      </c>
      <c r="C80" s="140">
        <f>IF((17/3)-(5*Punkteschnitt_420_tab[[#This Row],[Punkte]]/$B$3)&lt;1,1,TRUNC((17/3)-(5*Punkteschnitt_420_tab[[#This Row],[Punkte]]/$B$3),1))</f>
        <v>1.5</v>
      </c>
    </row>
    <row r="81" spans="2:3" x14ac:dyDescent="0.25">
      <c r="B81" s="139">
        <v>342</v>
      </c>
      <c r="C81" s="140">
        <f>IF((17/3)-(5*Punkteschnitt_420_tab[[#This Row],[Punkte]]/$B$3)&lt;1,1,TRUNC((17/3)-(5*Punkteschnitt_420_tab[[#This Row],[Punkte]]/$B$3),1))</f>
        <v>1.5</v>
      </c>
    </row>
    <row r="82" spans="2:3" x14ac:dyDescent="0.25">
      <c r="B82" s="139">
        <v>341</v>
      </c>
      <c r="C82" s="140">
        <f>IF((17/3)-(5*Punkteschnitt_420_tab[[#This Row],[Punkte]]/$B$3)&lt;1,1,TRUNC((17/3)-(5*Punkteschnitt_420_tab[[#This Row],[Punkte]]/$B$3),1))</f>
        <v>1.6</v>
      </c>
    </row>
    <row r="83" spans="2:3" x14ac:dyDescent="0.25">
      <c r="B83" s="139">
        <v>340</v>
      </c>
      <c r="C83" s="140">
        <f>IF((17/3)-(5*Punkteschnitt_420_tab[[#This Row],[Punkte]]/$B$3)&lt;1,1,TRUNC((17/3)-(5*Punkteschnitt_420_tab[[#This Row],[Punkte]]/$B$3),1))</f>
        <v>1.6</v>
      </c>
    </row>
    <row r="84" spans="2:3" x14ac:dyDescent="0.25">
      <c r="B84" s="139">
        <v>339</v>
      </c>
      <c r="C84" s="140">
        <f>IF((17/3)-(5*Punkteschnitt_420_tab[[#This Row],[Punkte]]/$B$3)&lt;1,1,TRUNC((17/3)-(5*Punkteschnitt_420_tab[[#This Row],[Punkte]]/$B$3),1))</f>
        <v>1.6</v>
      </c>
    </row>
    <row r="85" spans="2:3" x14ac:dyDescent="0.25">
      <c r="B85" s="139">
        <v>338</v>
      </c>
      <c r="C85" s="140">
        <f>IF((17/3)-(5*Punkteschnitt_420_tab[[#This Row],[Punkte]]/$B$3)&lt;1,1,TRUNC((17/3)-(5*Punkteschnitt_420_tab[[#This Row],[Punkte]]/$B$3),1))</f>
        <v>1.6</v>
      </c>
    </row>
    <row r="86" spans="2:3" x14ac:dyDescent="0.25">
      <c r="B86" s="139">
        <v>337</v>
      </c>
      <c r="C86" s="140">
        <f>IF((17/3)-(5*Punkteschnitt_420_tab[[#This Row],[Punkte]]/$B$3)&lt;1,1,TRUNC((17/3)-(5*Punkteschnitt_420_tab[[#This Row],[Punkte]]/$B$3),1))</f>
        <v>1.6</v>
      </c>
    </row>
    <row r="87" spans="2:3" x14ac:dyDescent="0.25">
      <c r="B87" s="139">
        <v>336</v>
      </c>
      <c r="C87" s="140">
        <f>IF((17/3)-(5*Punkteschnitt_420_tab[[#This Row],[Punkte]]/$B$3)&lt;1,1,TRUNC((17/3)-(5*Punkteschnitt_420_tab[[#This Row],[Punkte]]/$B$3),1))</f>
        <v>1.6</v>
      </c>
    </row>
    <row r="88" spans="2:3" x14ac:dyDescent="0.25">
      <c r="B88" s="139">
        <v>335</v>
      </c>
      <c r="C88" s="140">
        <f>IF((17/3)-(5*Punkteschnitt_420_tab[[#This Row],[Punkte]]/$B$3)&lt;1,1,TRUNC((17/3)-(5*Punkteschnitt_420_tab[[#This Row],[Punkte]]/$B$3),1))</f>
        <v>1.6</v>
      </c>
    </row>
    <row r="89" spans="2:3" x14ac:dyDescent="0.25">
      <c r="B89" s="139">
        <v>334</v>
      </c>
      <c r="C89" s="140">
        <f>IF((17/3)-(5*Punkteschnitt_420_tab[[#This Row],[Punkte]]/$B$3)&lt;1,1,TRUNC((17/3)-(5*Punkteschnitt_420_tab[[#This Row],[Punkte]]/$B$3),1))</f>
        <v>1.6</v>
      </c>
    </row>
    <row r="90" spans="2:3" x14ac:dyDescent="0.25">
      <c r="B90" s="139">
        <v>333</v>
      </c>
      <c r="C90" s="140">
        <f>IF((17/3)-(5*Punkteschnitt_420_tab[[#This Row],[Punkte]]/$B$3)&lt;1,1,TRUNC((17/3)-(5*Punkteschnitt_420_tab[[#This Row],[Punkte]]/$B$3),1))</f>
        <v>1.7</v>
      </c>
    </row>
    <row r="91" spans="2:3" x14ac:dyDescent="0.25">
      <c r="B91" s="139">
        <v>332</v>
      </c>
      <c r="C91" s="140">
        <f>IF((17/3)-(5*Punkteschnitt_420_tab[[#This Row],[Punkte]]/$B$3)&lt;1,1,TRUNC((17/3)-(5*Punkteschnitt_420_tab[[#This Row],[Punkte]]/$B$3),1))</f>
        <v>1.7</v>
      </c>
    </row>
    <row r="92" spans="2:3" x14ac:dyDescent="0.25">
      <c r="B92" s="139">
        <v>331</v>
      </c>
      <c r="C92" s="140">
        <f>IF((17/3)-(5*Punkteschnitt_420_tab[[#This Row],[Punkte]]/$B$3)&lt;1,1,TRUNC((17/3)-(5*Punkteschnitt_420_tab[[#This Row],[Punkte]]/$B$3),1))</f>
        <v>1.7</v>
      </c>
    </row>
    <row r="93" spans="2:3" x14ac:dyDescent="0.25">
      <c r="B93" s="139">
        <v>330</v>
      </c>
      <c r="C93" s="140">
        <f>IF((17/3)-(5*Punkteschnitt_420_tab[[#This Row],[Punkte]]/$B$3)&lt;1,1,TRUNC((17/3)-(5*Punkteschnitt_420_tab[[#This Row],[Punkte]]/$B$3),1))</f>
        <v>1.7</v>
      </c>
    </row>
    <row r="94" spans="2:3" x14ac:dyDescent="0.25">
      <c r="B94" s="139">
        <v>329</v>
      </c>
      <c r="C94" s="140">
        <f>IF((17/3)-(5*Punkteschnitt_420_tab[[#This Row],[Punkte]]/$B$3)&lt;1,1,TRUNC((17/3)-(5*Punkteschnitt_420_tab[[#This Row],[Punkte]]/$B$3),1))</f>
        <v>1.7</v>
      </c>
    </row>
    <row r="95" spans="2:3" x14ac:dyDescent="0.25">
      <c r="B95" s="139">
        <v>328</v>
      </c>
      <c r="C95" s="140">
        <f>IF((17/3)-(5*Punkteschnitt_420_tab[[#This Row],[Punkte]]/$B$3)&lt;1,1,TRUNC((17/3)-(5*Punkteschnitt_420_tab[[#This Row],[Punkte]]/$B$3),1))</f>
        <v>1.7</v>
      </c>
    </row>
    <row r="96" spans="2:3" x14ac:dyDescent="0.25">
      <c r="B96" s="139">
        <v>327</v>
      </c>
      <c r="C96" s="140">
        <f>IF((17/3)-(5*Punkteschnitt_420_tab[[#This Row],[Punkte]]/$B$3)&lt;1,1,TRUNC((17/3)-(5*Punkteschnitt_420_tab[[#This Row],[Punkte]]/$B$3),1))</f>
        <v>1.7</v>
      </c>
    </row>
    <row r="97" spans="2:3" x14ac:dyDescent="0.25">
      <c r="B97" s="139">
        <v>326</v>
      </c>
      <c r="C97" s="140">
        <f>IF((17/3)-(5*Punkteschnitt_420_tab[[#This Row],[Punkte]]/$B$3)&lt;1,1,TRUNC((17/3)-(5*Punkteschnitt_420_tab[[#This Row],[Punkte]]/$B$3),1))</f>
        <v>1.7</v>
      </c>
    </row>
    <row r="98" spans="2:3" x14ac:dyDescent="0.25">
      <c r="B98" s="139">
        <v>325</v>
      </c>
      <c r="C98" s="140">
        <f>IF((17/3)-(5*Punkteschnitt_420_tab[[#This Row],[Punkte]]/$B$3)&lt;1,1,TRUNC((17/3)-(5*Punkteschnitt_420_tab[[#This Row],[Punkte]]/$B$3),1))</f>
        <v>1.7</v>
      </c>
    </row>
    <row r="99" spans="2:3" x14ac:dyDescent="0.25">
      <c r="B99" s="139">
        <v>324</v>
      </c>
      <c r="C99" s="140">
        <f>IF((17/3)-(5*Punkteschnitt_420_tab[[#This Row],[Punkte]]/$B$3)&lt;1,1,TRUNC((17/3)-(5*Punkteschnitt_420_tab[[#This Row],[Punkte]]/$B$3),1))</f>
        <v>1.8</v>
      </c>
    </row>
    <row r="100" spans="2:3" x14ac:dyDescent="0.25">
      <c r="B100" s="139">
        <v>323</v>
      </c>
      <c r="C100" s="140">
        <f>IF((17/3)-(5*Punkteschnitt_420_tab[[#This Row],[Punkte]]/$B$3)&lt;1,1,TRUNC((17/3)-(5*Punkteschnitt_420_tab[[#This Row],[Punkte]]/$B$3),1))</f>
        <v>1.8</v>
      </c>
    </row>
    <row r="101" spans="2:3" x14ac:dyDescent="0.25">
      <c r="B101" s="139">
        <v>322</v>
      </c>
      <c r="C101" s="140">
        <f>IF((17/3)-(5*Punkteschnitt_420_tab[[#This Row],[Punkte]]/$B$3)&lt;1,1,TRUNC((17/3)-(5*Punkteschnitt_420_tab[[#This Row],[Punkte]]/$B$3),1))</f>
        <v>1.8</v>
      </c>
    </row>
    <row r="102" spans="2:3" x14ac:dyDescent="0.25">
      <c r="B102" s="139">
        <v>321</v>
      </c>
      <c r="C102" s="140">
        <f>IF((17/3)-(5*Punkteschnitt_420_tab[[#This Row],[Punkte]]/$B$3)&lt;1,1,TRUNC((17/3)-(5*Punkteschnitt_420_tab[[#This Row],[Punkte]]/$B$3),1))</f>
        <v>1.8</v>
      </c>
    </row>
    <row r="103" spans="2:3" x14ac:dyDescent="0.25">
      <c r="B103" s="139">
        <v>320</v>
      </c>
      <c r="C103" s="140">
        <f>IF((17/3)-(5*Punkteschnitt_420_tab[[#This Row],[Punkte]]/$B$3)&lt;1,1,TRUNC((17/3)-(5*Punkteschnitt_420_tab[[#This Row],[Punkte]]/$B$3),1))</f>
        <v>1.8</v>
      </c>
    </row>
    <row r="104" spans="2:3" x14ac:dyDescent="0.25">
      <c r="B104" s="139">
        <v>319</v>
      </c>
      <c r="C104" s="140">
        <f>IF((17/3)-(5*Punkteschnitt_420_tab[[#This Row],[Punkte]]/$B$3)&lt;1,1,TRUNC((17/3)-(5*Punkteschnitt_420_tab[[#This Row],[Punkte]]/$B$3),1))</f>
        <v>1.8</v>
      </c>
    </row>
    <row r="105" spans="2:3" x14ac:dyDescent="0.25">
      <c r="B105" s="139">
        <v>318</v>
      </c>
      <c r="C105" s="140">
        <f>IF((17/3)-(5*Punkteschnitt_420_tab[[#This Row],[Punkte]]/$B$3)&lt;1,1,TRUNC((17/3)-(5*Punkteschnitt_420_tab[[#This Row],[Punkte]]/$B$3),1))</f>
        <v>1.8</v>
      </c>
    </row>
    <row r="106" spans="2:3" x14ac:dyDescent="0.25">
      <c r="B106" s="139">
        <v>317</v>
      </c>
      <c r="C106" s="140">
        <f>IF((17/3)-(5*Punkteschnitt_420_tab[[#This Row],[Punkte]]/$B$3)&lt;1,1,TRUNC((17/3)-(5*Punkteschnitt_420_tab[[#This Row],[Punkte]]/$B$3),1))</f>
        <v>1.8</v>
      </c>
    </row>
    <row r="107" spans="2:3" x14ac:dyDescent="0.25">
      <c r="B107" s="139">
        <v>316</v>
      </c>
      <c r="C107" s="140">
        <f>IF((17/3)-(5*Punkteschnitt_420_tab[[#This Row],[Punkte]]/$B$3)&lt;1,1,TRUNC((17/3)-(5*Punkteschnitt_420_tab[[#This Row],[Punkte]]/$B$3),1))</f>
        <v>1.9</v>
      </c>
    </row>
    <row r="108" spans="2:3" x14ac:dyDescent="0.25">
      <c r="B108" s="139">
        <v>315</v>
      </c>
      <c r="C108" s="140">
        <f>IF((17/3)-(5*Punkteschnitt_420_tab[[#This Row],[Punkte]]/$B$3)&lt;1,1,TRUNC((17/3)-(5*Punkteschnitt_420_tab[[#This Row],[Punkte]]/$B$3),1))</f>
        <v>1.9</v>
      </c>
    </row>
    <row r="109" spans="2:3" x14ac:dyDescent="0.25">
      <c r="B109" s="139">
        <v>314</v>
      </c>
      <c r="C109" s="140">
        <f>IF((17/3)-(5*Punkteschnitt_420_tab[[#This Row],[Punkte]]/$B$3)&lt;1,1,TRUNC((17/3)-(5*Punkteschnitt_420_tab[[#This Row],[Punkte]]/$B$3),1))</f>
        <v>1.9</v>
      </c>
    </row>
    <row r="110" spans="2:3" x14ac:dyDescent="0.25">
      <c r="B110" s="139">
        <v>313</v>
      </c>
      <c r="C110" s="140">
        <f>IF((17/3)-(5*Punkteschnitt_420_tab[[#This Row],[Punkte]]/$B$3)&lt;1,1,TRUNC((17/3)-(5*Punkteschnitt_420_tab[[#This Row],[Punkte]]/$B$3),1))</f>
        <v>1.9</v>
      </c>
    </row>
    <row r="111" spans="2:3" x14ac:dyDescent="0.25">
      <c r="B111" s="139">
        <v>312</v>
      </c>
      <c r="C111" s="140">
        <f>IF((17/3)-(5*Punkteschnitt_420_tab[[#This Row],[Punkte]]/$B$3)&lt;1,1,TRUNC((17/3)-(5*Punkteschnitt_420_tab[[#This Row],[Punkte]]/$B$3),1))</f>
        <v>1.9</v>
      </c>
    </row>
    <row r="112" spans="2:3" x14ac:dyDescent="0.25">
      <c r="B112" s="139">
        <v>311</v>
      </c>
      <c r="C112" s="140">
        <f>IF((17/3)-(5*Punkteschnitt_420_tab[[#This Row],[Punkte]]/$B$3)&lt;1,1,TRUNC((17/3)-(5*Punkteschnitt_420_tab[[#This Row],[Punkte]]/$B$3),1))</f>
        <v>1.9</v>
      </c>
    </row>
    <row r="113" spans="2:3" x14ac:dyDescent="0.25">
      <c r="B113" s="139">
        <v>310</v>
      </c>
      <c r="C113" s="140">
        <f>IF((17/3)-(5*Punkteschnitt_420_tab[[#This Row],[Punkte]]/$B$3)&lt;1,1,TRUNC((17/3)-(5*Punkteschnitt_420_tab[[#This Row],[Punkte]]/$B$3),1))</f>
        <v>1.9</v>
      </c>
    </row>
    <row r="114" spans="2:3" x14ac:dyDescent="0.25">
      <c r="B114" s="139">
        <v>309</v>
      </c>
      <c r="C114" s="140">
        <f>IF((17/3)-(5*Punkteschnitt_420_tab[[#This Row],[Punkte]]/$B$3)&lt;1,1,TRUNC((17/3)-(5*Punkteschnitt_420_tab[[#This Row],[Punkte]]/$B$3),1))</f>
        <v>1.9</v>
      </c>
    </row>
    <row r="115" spans="2:3" x14ac:dyDescent="0.25">
      <c r="B115" s="139">
        <v>308</v>
      </c>
      <c r="C115" s="140">
        <f>IF((17/3)-(5*Punkteschnitt_420_tab[[#This Row],[Punkte]]/$B$3)&lt;1,1,TRUNC((17/3)-(5*Punkteschnitt_420_tab[[#This Row],[Punkte]]/$B$3),1))</f>
        <v>2</v>
      </c>
    </row>
    <row r="116" spans="2:3" x14ac:dyDescent="0.25">
      <c r="B116" s="139">
        <v>307</v>
      </c>
      <c r="C116" s="140">
        <f>IF((17/3)-(5*Punkteschnitt_420_tab[[#This Row],[Punkte]]/$B$3)&lt;1,1,TRUNC((17/3)-(5*Punkteschnitt_420_tab[[#This Row],[Punkte]]/$B$3),1))</f>
        <v>2</v>
      </c>
    </row>
    <row r="117" spans="2:3" x14ac:dyDescent="0.25">
      <c r="B117" s="139">
        <v>306</v>
      </c>
      <c r="C117" s="140">
        <f>IF((17/3)-(5*Punkteschnitt_420_tab[[#This Row],[Punkte]]/$B$3)&lt;1,1,TRUNC((17/3)-(5*Punkteschnitt_420_tab[[#This Row],[Punkte]]/$B$3),1))</f>
        <v>2</v>
      </c>
    </row>
    <row r="118" spans="2:3" x14ac:dyDescent="0.25">
      <c r="B118" s="139">
        <v>305</v>
      </c>
      <c r="C118" s="140">
        <f>IF((17/3)-(5*Punkteschnitt_420_tab[[#This Row],[Punkte]]/$B$3)&lt;1,1,TRUNC((17/3)-(5*Punkteschnitt_420_tab[[#This Row],[Punkte]]/$B$3),1))</f>
        <v>2</v>
      </c>
    </row>
    <row r="119" spans="2:3" x14ac:dyDescent="0.25">
      <c r="B119" s="139">
        <v>304</v>
      </c>
      <c r="C119" s="140">
        <f>IF((17/3)-(5*Punkteschnitt_420_tab[[#This Row],[Punkte]]/$B$3)&lt;1,1,TRUNC((17/3)-(5*Punkteschnitt_420_tab[[#This Row],[Punkte]]/$B$3),1))</f>
        <v>2</v>
      </c>
    </row>
    <row r="120" spans="2:3" x14ac:dyDescent="0.25">
      <c r="B120" s="139">
        <v>303</v>
      </c>
      <c r="C120" s="140">
        <f>IF((17/3)-(5*Punkteschnitt_420_tab[[#This Row],[Punkte]]/$B$3)&lt;1,1,TRUNC((17/3)-(5*Punkteschnitt_420_tab[[#This Row],[Punkte]]/$B$3),1))</f>
        <v>2</v>
      </c>
    </row>
    <row r="121" spans="2:3" x14ac:dyDescent="0.25">
      <c r="B121" s="139">
        <v>302</v>
      </c>
      <c r="C121" s="140">
        <f>IF((17/3)-(5*Punkteschnitt_420_tab[[#This Row],[Punkte]]/$B$3)&lt;1,1,TRUNC((17/3)-(5*Punkteschnitt_420_tab[[#This Row],[Punkte]]/$B$3),1))</f>
        <v>2</v>
      </c>
    </row>
    <row r="122" spans="2:3" x14ac:dyDescent="0.25">
      <c r="B122" s="139">
        <v>301</v>
      </c>
      <c r="C122" s="140">
        <f>IF((17/3)-(5*Punkteschnitt_420_tab[[#This Row],[Punkte]]/$B$3)&lt;1,1,TRUNC((17/3)-(5*Punkteschnitt_420_tab[[#This Row],[Punkte]]/$B$3),1))</f>
        <v>2</v>
      </c>
    </row>
    <row r="123" spans="2:3" x14ac:dyDescent="0.25">
      <c r="B123" s="139">
        <v>300</v>
      </c>
      <c r="C123" s="140">
        <f>IF((17/3)-(5*Punkteschnitt_420_tab[[#This Row],[Punkte]]/$B$3)&lt;1,1,TRUNC((17/3)-(5*Punkteschnitt_420_tab[[#This Row],[Punkte]]/$B$3),1))</f>
        <v>2</v>
      </c>
    </row>
    <row r="124" spans="2:3" x14ac:dyDescent="0.25">
      <c r="B124" s="139">
        <v>299</v>
      </c>
      <c r="C124" s="140">
        <f>IF((17/3)-(5*Punkteschnitt_420_tab[[#This Row],[Punkte]]/$B$3)&lt;1,1,TRUNC((17/3)-(5*Punkteschnitt_420_tab[[#This Row],[Punkte]]/$B$3),1))</f>
        <v>2.1</v>
      </c>
    </row>
    <row r="125" spans="2:3" x14ac:dyDescent="0.25">
      <c r="B125" s="139">
        <v>298</v>
      </c>
      <c r="C125" s="140">
        <f>IF((17/3)-(5*Punkteschnitt_420_tab[[#This Row],[Punkte]]/$B$3)&lt;1,1,TRUNC((17/3)-(5*Punkteschnitt_420_tab[[#This Row],[Punkte]]/$B$3),1))</f>
        <v>2.1</v>
      </c>
    </row>
    <row r="126" spans="2:3" x14ac:dyDescent="0.25">
      <c r="B126" s="139">
        <v>297</v>
      </c>
      <c r="C126" s="140">
        <f>IF((17/3)-(5*Punkteschnitt_420_tab[[#This Row],[Punkte]]/$B$3)&lt;1,1,TRUNC((17/3)-(5*Punkteschnitt_420_tab[[#This Row],[Punkte]]/$B$3),1))</f>
        <v>2.1</v>
      </c>
    </row>
    <row r="127" spans="2:3" x14ac:dyDescent="0.25">
      <c r="B127" s="139">
        <v>296</v>
      </c>
      <c r="C127" s="140">
        <f>IF((17/3)-(5*Punkteschnitt_420_tab[[#This Row],[Punkte]]/$B$3)&lt;1,1,TRUNC((17/3)-(5*Punkteschnitt_420_tab[[#This Row],[Punkte]]/$B$3),1))</f>
        <v>2.1</v>
      </c>
    </row>
    <row r="128" spans="2:3" x14ac:dyDescent="0.25">
      <c r="B128" s="139">
        <v>295</v>
      </c>
      <c r="C128" s="140">
        <f>IF((17/3)-(5*Punkteschnitt_420_tab[[#This Row],[Punkte]]/$B$3)&lt;1,1,TRUNC((17/3)-(5*Punkteschnitt_420_tab[[#This Row],[Punkte]]/$B$3),1))</f>
        <v>2.1</v>
      </c>
    </row>
    <row r="129" spans="2:3" x14ac:dyDescent="0.25">
      <c r="B129" s="139">
        <v>294</v>
      </c>
      <c r="C129" s="140">
        <f>IF((17/3)-(5*Punkteschnitt_420_tab[[#This Row],[Punkte]]/$B$3)&lt;1,1,TRUNC((17/3)-(5*Punkteschnitt_420_tab[[#This Row],[Punkte]]/$B$3),1))</f>
        <v>2.1</v>
      </c>
    </row>
    <row r="130" spans="2:3" x14ac:dyDescent="0.25">
      <c r="B130" s="139">
        <v>293</v>
      </c>
      <c r="C130" s="140">
        <f>IF((17/3)-(5*Punkteschnitt_420_tab[[#This Row],[Punkte]]/$B$3)&lt;1,1,TRUNC((17/3)-(5*Punkteschnitt_420_tab[[#This Row],[Punkte]]/$B$3),1))</f>
        <v>2.1</v>
      </c>
    </row>
    <row r="131" spans="2:3" x14ac:dyDescent="0.25">
      <c r="B131" s="139">
        <v>292</v>
      </c>
      <c r="C131" s="140">
        <f>IF((17/3)-(5*Punkteschnitt_420_tab[[#This Row],[Punkte]]/$B$3)&lt;1,1,TRUNC((17/3)-(5*Punkteschnitt_420_tab[[#This Row],[Punkte]]/$B$3),1))</f>
        <v>2.1</v>
      </c>
    </row>
    <row r="132" spans="2:3" x14ac:dyDescent="0.25">
      <c r="B132" s="139">
        <v>291</v>
      </c>
      <c r="C132" s="140">
        <f>IF((17/3)-(5*Punkteschnitt_420_tab[[#This Row],[Punkte]]/$B$3)&lt;1,1,TRUNC((17/3)-(5*Punkteschnitt_420_tab[[#This Row],[Punkte]]/$B$3),1))</f>
        <v>2.2000000000000002</v>
      </c>
    </row>
    <row r="133" spans="2:3" x14ac:dyDescent="0.25">
      <c r="B133" s="139">
        <v>290</v>
      </c>
      <c r="C133" s="140">
        <f>IF((17/3)-(5*Punkteschnitt_420_tab[[#This Row],[Punkte]]/$B$3)&lt;1,1,TRUNC((17/3)-(5*Punkteschnitt_420_tab[[#This Row],[Punkte]]/$B$3),1))</f>
        <v>2.2000000000000002</v>
      </c>
    </row>
    <row r="134" spans="2:3" x14ac:dyDescent="0.25">
      <c r="B134" s="139">
        <v>289</v>
      </c>
      <c r="C134" s="140">
        <f>IF((17/3)-(5*Punkteschnitt_420_tab[[#This Row],[Punkte]]/$B$3)&lt;1,1,TRUNC((17/3)-(5*Punkteschnitt_420_tab[[#This Row],[Punkte]]/$B$3),1))</f>
        <v>2.2000000000000002</v>
      </c>
    </row>
    <row r="135" spans="2:3" x14ac:dyDescent="0.25">
      <c r="B135" s="139">
        <v>288</v>
      </c>
      <c r="C135" s="140">
        <f>IF((17/3)-(5*Punkteschnitt_420_tab[[#This Row],[Punkte]]/$B$3)&lt;1,1,TRUNC((17/3)-(5*Punkteschnitt_420_tab[[#This Row],[Punkte]]/$B$3),1))</f>
        <v>2.2000000000000002</v>
      </c>
    </row>
    <row r="136" spans="2:3" x14ac:dyDescent="0.25">
      <c r="B136" s="139">
        <v>287</v>
      </c>
      <c r="C136" s="140">
        <f>IF((17/3)-(5*Punkteschnitt_420_tab[[#This Row],[Punkte]]/$B$3)&lt;1,1,TRUNC((17/3)-(5*Punkteschnitt_420_tab[[#This Row],[Punkte]]/$B$3),1))</f>
        <v>2.2000000000000002</v>
      </c>
    </row>
    <row r="137" spans="2:3" x14ac:dyDescent="0.25">
      <c r="B137" s="139">
        <v>286</v>
      </c>
      <c r="C137" s="140">
        <f>IF((17/3)-(5*Punkteschnitt_420_tab[[#This Row],[Punkte]]/$B$3)&lt;1,1,TRUNC((17/3)-(5*Punkteschnitt_420_tab[[#This Row],[Punkte]]/$B$3),1))</f>
        <v>2.2000000000000002</v>
      </c>
    </row>
    <row r="138" spans="2:3" x14ac:dyDescent="0.25">
      <c r="B138" s="139">
        <v>285</v>
      </c>
      <c r="C138" s="140">
        <f>IF((17/3)-(5*Punkteschnitt_420_tab[[#This Row],[Punkte]]/$B$3)&lt;1,1,TRUNC((17/3)-(5*Punkteschnitt_420_tab[[#This Row],[Punkte]]/$B$3),1))</f>
        <v>2.2000000000000002</v>
      </c>
    </row>
    <row r="139" spans="2:3" x14ac:dyDescent="0.25">
      <c r="B139" s="139">
        <v>284</v>
      </c>
      <c r="C139" s="140">
        <f>IF((17/3)-(5*Punkteschnitt_420_tab[[#This Row],[Punkte]]/$B$3)&lt;1,1,TRUNC((17/3)-(5*Punkteschnitt_420_tab[[#This Row],[Punkte]]/$B$3),1))</f>
        <v>2.2000000000000002</v>
      </c>
    </row>
    <row r="140" spans="2:3" x14ac:dyDescent="0.25">
      <c r="B140" s="139">
        <v>283</v>
      </c>
      <c r="C140" s="140">
        <f>IF((17/3)-(5*Punkteschnitt_420_tab[[#This Row],[Punkte]]/$B$3)&lt;1,1,TRUNC((17/3)-(5*Punkteschnitt_420_tab[[#This Row],[Punkte]]/$B$3),1))</f>
        <v>2.2000000000000002</v>
      </c>
    </row>
    <row r="141" spans="2:3" x14ac:dyDescent="0.25">
      <c r="B141" s="139">
        <v>282</v>
      </c>
      <c r="C141" s="140">
        <f>IF((17/3)-(5*Punkteschnitt_420_tab[[#This Row],[Punkte]]/$B$3)&lt;1,1,TRUNC((17/3)-(5*Punkteschnitt_420_tab[[#This Row],[Punkte]]/$B$3),1))</f>
        <v>2.2999999999999998</v>
      </c>
    </row>
    <row r="142" spans="2:3" x14ac:dyDescent="0.25">
      <c r="B142" s="139">
        <v>281</v>
      </c>
      <c r="C142" s="140">
        <f>IF((17/3)-(5*Punkteschnitt_420_tab[[#This Row],[Punkte]]/$B$3)&lt;1,1,TRUNC((17/3)-(5*Punkteschnitt_420_tab[[#This Row],[Punkte]]/$B$3),1))</f>
        <v>2.2999999999999998</v>
      </c>
    </row>
    <row r="143" spans="2:3" x14ac:dyDescent="0.25">
      <c r="B143" s="139">
        <v>280</v>
      </c>
      <c r="C143" s="140">
        <f>IF((17/3)-(5*Punkteschnitt_420_tab[[#This Row],[Punkte]]/$B$3)&lt;1,1,TRUNC((17/3)-(5*Punkteschnitt_420_tab[[#This Row],[Punkte]]/$B$3),1))</f>
        <v>2.2999999999999998</v>
      </c>
    </row>
    <row r="144" spans="2:3" x14ac:dyDescent="0.25">
      <c r="B144" s="139">
        <v>279</v>
      </c>
      <c r="C144" s="140">
        <f>IF((17/3)-(5*Punkteschnitt_420_tab[[#This Row],[Punkte]]/$B$3)&lt;1,1,TRUNC((17/3)-(5*Punkteschnitt_420_tab[[#This Row],[Punkte]]/$B$3),1))</f>
        <v>2.2999999999999998</v>
      </c>
    </row>
    <row r="145" spans="2:3" x14ac:dyDescent="0.25">
      <c r="B145" s="139">
        <v>278</v>
      </c>
      <c r="C145" s="140">
        <f>IF((17/3)-(5*Punkteschnitt_420_tab[[#This Row],[Punkte]]/$B$3)&lt;1,1,TRUNC((17/3)-(5*Punkteschnitt_420_tab[[#This Row],[Punkte]]/$B$3),1))</f>
        <v>2.2999999999999998</v>
      </c>
    </row>
    <row r="146" spans="2:3" x14ac:dyDescent="0.25">
      <c r="B146" s="139">
        <v>277</v>
      </c>
      <c r="C146" s="140">
        <f>IF((17/3)-(5*Punkteschnitt_420_tab[[#This Row],[Punkte]]/$B$3)&lt;1,1,TRUNC((17/3)-(5*Punkteschnitt_420_tab[[#This Row],[Punkte]]/$B$3),1))</f>
        <v>2.2999999999999998</v>
      </c>
    </row>
    <row r="147" spans="2:3" x14ac:dyDescent="0.25">
      <c r="B147" s="139">
        <v>276</v>
      </c>
      <c r="C147" s="140">
        <f>IF((17/3)-(5*Punkteschnitt_420_tab[[#This Row],[Punkte]]/$B$3)&lt;1,1,TRUNC((17/3)-(5*Punkteschnitt_420_tab[[#This Row],[Punkte]]/$B$3),1))</f>
        <v>2.2999999999999998</v>
      </c>
    </row>
    <row r="148" spans="2:3" x14ac:dyDescent="0.25">
      <c r="B148" s="139">
        <v>275</v>
      </c>
      <c r="C148" s="140">
        <f>IF((17/3)-(5*Punkteschnitt_420_tab[[#This Row],[Punkte]]/$B$3)&lt;1,1,TRUNC((17/3)-(5*Punkteschnitt_420_tab[[#This Row],[Punkte]]/$B$3),1))</f>
        <v>2.2999999999999998</v>
      </c>
    </row>
    <row r="149" spans="2:3" x14ac:dyDescent="0.25">
      <c r="B149" s="139">
        <v>274</v>
      </c>
      <c r="C149" s="140">
        <f>IF((17/3)-(5*Punkteschnitt_420_tab[[#This Row],[Punkte]]/$B$3)&lt;1,1,TRUNC((17/3)-(5*Punkteschnitt_420_tab[[#This Row],[Punkte]]/$B$3),1))</f>
        <v>2.4</v>
      </c>
    </row>
    <row r="150" spans="2:3" x14ac:dyDescent="0.25">
      <c r="B150" s="139">
        <v>273</v>
      </c>
      <c r="C150" s="140">
        <f>IF((17/3)-(5*Punkteschnitt_420_tab[[#This Row],[Punkte]]/$B$3)&lt;1,1,TRUNC((17/3)-(5*Punkteschnitt_420_tab[[#This Row],[Punkte]]/$B$3),1))</f>
        <v>2.4</v>
      </c>
    </row>
    <row r="151" spans="2:3" x14ac:dyDescent="0.25">
      <c r="B151" s="139">
        <v>272</v>
      </c>
      <c r="C151" s="140">
        <f>IF((17/3)-(5*Punkteschnitt_420_tab[[#This Row],[Punkte]]/$B$3)&lt;1,1,TRUNC((17/3)-(5*Punkteschnitt_420_tab[[#This Row],[Punkte]]/$B$3),1))</f>
        <v>2.4</v>
      </c>
    </row>
    <row r="152" spans="2:3" x14ac:dyDescent="0.25">
      <c r="B152" s="139">
        <v>271</v>
      </c>
      <c r="C152" s="140">
        <f>IF((17/3)-(5*Punkteschnitt_420_tab[[#This Row],[Punkte]]/$B$3)&lt;1,1,TRUNC((17/3)-(5*Punkteschnitt_420_tab[[#This Row],[Punkte]]/$B$3),1))</f>
        <v>2.4</v>
      </c>
    </row>
    <row r="153" spans="2:3" x14ac:dyDescent="0.25">
      <c r="B153" s="139">
        <v>270</v>
      </c>
      <c r="C153" s="140">
        <f>IF((17/3)-(5*Punkteschnitt_420_tab[[#This Row],[Punkte]]/$B$3)&lt;1,1,TRUNC((17/3)-(5*Punkteschnitt_420_tab[[#This Row],[Punkte]]/$B$3),1))</f>
        <v>2.4</v>
      </c>
    </row>
    <row r="154" spans="2:3" x14ac:dyDescent="0.25">
      <c r="B154" s="139">
        <v>269</v>
      </c>
      <c r="C154" s="140">
        <f>IF((17/3)-(5*Punkteschnitt_420_tab[[#This Row],[Punkte]]/$B$3)&lt;1,1,TRUNC((17/3)-(5*Punkteschnitt_420_tab[[#This Row],[Punkte]]/$B$3),1))</f>
        <v>2.4</v>
      </c>
    </row>
    <row r="155" spans="2:3" x14ac:dyDescent="0.25">
      <c r="B155" s="139">
        <v>268</v>
      </c>
      <c r="C155" s="140">
        <f>IF((17/3)-(5*Punkteschnitt_420_tab[[#This Row],[Punkte]]/$B$3)&lt;1,1,TRUNC((17/3)-(5*Punkteschnitt_420_tab[[#This Row],[Punkte]]/$B$3),1))</f>
        <v>2.4</v>
      </c>
    </row>
    <row r="156" spans="2:3" x14ac:dyDescent="0.25">
      <c r="B156" s="139">
        <v>267</v>
      </c>
      <c r="C156" s="140">
        <f>IF((17/3)-(5*Punkteschnitt_420_tab[[#This Row],[Punkte]]/$B$3)&lt;1,1,TRUNC((17/3)-(5*Punkteschnitt_420_tab[[#This Row],[Punkte]]/$B$3),1))</f>
        <v>2.4</v>
      </c>
    </row>
    <row r="157" spans="2:3" x14ac:dyDescent="0.25">
      <c r="B157" s="139">
        <v>266</v>
      </c>
      <c r="C157" s="140">
        <f>IF((17/3)-(5*Punkteschnitt_420_tab[[#This Row],[Punkte]]/$B$3)&lt;1,1,TRUNC((17/3)-(5*Punkteschnitt_420_tab[[#This Row],[Punkte]]/$B$3),1))</f>
        <v>2.5</v>
      </c>
    </row>
    <row r="158" spans="2:3" x14ac:dyDescent="0.25">
      <c r="B158" s="139">
        <v>265</v>
      </c>
      <c r="C158" s="140">
        <f>IF((17/3)-(5*Punkteschnitt_420_tab[[#This Row],[Punkte]]/$B$3)&lt;1,1,TRUNC((17/3)-(5*Punkteschnitt_420_tab[[#This Row],[Punkte]]/$B$3),1))</f>
        <v>2.5</v>
      </c>
    </row>
    <row r="159" spans="2:3" x14ac:dyDescent="0.25">
      <c r="B159" s="139">
        <v>264</v>
      </c>
      <c r="C159" s="140">
        <f>IF((17/3)-(5*Punkteschnitt_420_tab[[#This Row],[Punkte]]/$B$3)&lt;1,1,TRUNC((17/3)-(5*Punkteschnitt_420_tab[[#This Row],[Punkte]]/$B$3),1))</f>
        <v>2.5</v>
      </c>
    </row>
    <row r="160" spans="2:3" x14ac:dyDescent="0.25">
      <c r="B160" s="139">
        <v>263</v>
      </c>
      <c r="C160" s="140">
        <f>IF((17/3)-(5*Punkteschnitt_420_tab[[#This Row],[Punkte]]/$B$3)&lt;1,1,TRUNC((17/3)-(5*Punkteschnitt_420_tab[[#This Row],[Punkte]]/$B$3),1))</f>
        <v>2.5</v>
      </c>
    </row>
    <row r="161" spans="2:3" x14ac:dyDescent="0.25">
      <c r="B161" s="139">
        <v>262</v>
      </c>
      <c r="C161" s="140">
        <f>IF((17/3)-(5*Punkteschnitt_420_tab[[#This Row],[Punkte]]/$B$3)&lt;1,1,TRUNC((17/3)-(5*Punkteschnitt_420_tab[[#This Row],[Punkte]]/$B$3),1))</f>
        <v>2.5</v>
      </c>
    </row>
    <row r="162" spans="2:3" x14ac:dyDescent="0.25">
      <c r="B162" s="139">
        <v>261</v>
      </c>
      <c r="C162" s="140">
        <f>IF((17/3)-(5*Punkteschnitt_420_tab[[#This Row],[Punkte]]/$B$3)&lt;1,1,TRUNC((17/3)-(5*Punkteschnitt_420_tab[[#This Row],[Punkte]]/$B$3),1))</f>
        <v>2.5</v>
      </c>
    </row>
    <row r="163" spans="2:3" x14ac:dyDescent="0.25">
      <c r="B163" s="139">
        <v>260</v>
      </c>
      <c r="C163" s="140">
        <f>IF((17/3)-(5*Punkteschnitt_420_tab[[#This Row],[Punkte]]/$B$3)&lt;1,1,TRUNC((17/3)-(5*Punkteschnitt_420_tab[[#This Row],[Punkte]]/$B$3),1))</f>
        <v>2.5</v>
      </c>
    </row>
    <row r="164" spans="2:3" x14ac:dyDescent="0.25">
      <c r="B164" s="139">
        <v>259</v>
      </c>
      <c r="C164" s="140">
        <f>IF((17/3)-(5*Punkteschnitt_420_tab[[#This Row],[Punkte]]/$B$3)&lt;1,1,TRUNC((17/3)-(5*Punkteschnitt_420_tab[[#This Row],[Punkte]]/$B$3),1))</f>
        <v>2.5</v>
      </c>
    </row>
    <row r="165" spans="2:3" x14ac:dyDescent="0.25">
      <c r="B165" s="139">
        <v>258</v>
      </c>
      <c r="C165" s="140">
        <f>IF((17/3)-(5*Punkteschnitt_420_tab[[#This Row],[Punkte]]/$B$3)&lt;1,1,TRUNC((17/3)-(5*Punkteschnitt_420_tab[[#This Row],[Punkte]]/$B$3),1))</f>
        <v>2.5</v>
      </c>
    </row>
    <row r="166" spans="2:3" x14ac:dyDescent="0.25">
      <c r="B166" s="139">
        <v>257</v>
      </c>
      <c r="C166" s="140">
        <f>IF((17/3)-(5*Punkteschnitt_420_tab[[#This Row],[Punkte]]/$B$3)&lt;1,1,TRUNC((17/3)-(5*Punkteschnitt_420_tab[[#This Row],[Punkte]]/$B$3),1))</f>
        <v>2.6</v>
      </c>
    </row>
    <row r="167" spans="2:3" x14ac:dyDescent="0.25">
      <c r="B167" s="139">
        <v>256</v>
      </c>
      <c r="C167" s="140">
        <f>IF((17/3)-(5*Punkteschnitt_420_tab[[#This Row],[Punkte]]/$B$3)&lt;1,1,TRUNC((17/3)-(5*Punkteschnitt_420_tab[[#This Row],[Punkte]]/$B$3),1))</f>
        <v>2.6</v>
      </c>
    </row>
    <row r="168" spans="2:3" x14ac:dyDescent="0.25">
      <c r="B168" s="139">
        <v>255</v>
      </c>
      <c r="C168" s="140">
        <f>IF((17/3)-(5*Punkteschnitt_420_tab[[#This Row],[Punkte]]/$B$3)&lt;1,1,TRUNC((17/3)-(5*Punkteschnitt_420_tab[[#This Row],[Punkte]]/$B$3),1))</f>
        <v>2.6</v>
      </c>
    </row>
    <row r="169" spans="2:3" x14ac:dyDescent="0.25">
      <c r="B169" s="139">
        <v>254</v>
      </c>
      <c r="C169" s="140">
        <f>IF((17/3)-(5*Punkteschnitt_420_tab[[#This Row],[Punkte]]/$B$3)&lt;1,1,TRUNC((17/3)-(5*Punkteschnitt_420_tab[[#This Row],[Punkte]]/$B$3),1))</f>
        <v>2.6</v>
      </c>
    </row>
    <row r="170" spans="2:3" x14ac:dyDescent="0.25">
      <c r="B170" s="139">
        <v>253</v>
      </c>
      <c r="C170" s="140">
        <f>IF((17/3)-(5*Punkteschnitt_420_tab[[#This Row],[Punkte]]/$B$3)&lt;1,1,TRUNC((17/3)-(5*Punkteschnitt_420_tab[[#This Row],[Punkte]]/$B$3),1))</f>
        <v>2.6</v>
      </c>
    </row>
    <row r="171" spans="2:3" x14ac:dyDescent="0.25">
      <c r="B171" s="139">
        <v>252</v>
      </c>
      <c r="C171" s="140">
        <f>IF((17/3)-(5*Punkteschnitt_420_tab[[#This Row],[Punkte]]/$B$3)&lt;1,1,TRUNC((17/3)-(5*Punkteschnitt_420_tab[[#This Row],[Punkte]]/$B$3),1))</f>
        <v>2.6</v>
      </c>
    </row>
    <row r="172" spans="2:3" x14ac:dyDescent="0.25">
      <c r="B172" s="139">
        <v>251</v>
      </c>
      <c r="C172" s="140">
        <f>IF((17/3)-(5*Punkteschnitt_420_tab[[#This Row],[Punkte]]/$B$3)&lt;1,1,TRUNC((17/3)-(5*Punkteschnitt_420_tab[[#This Row],[Punkte]]/$B$3),1))</f>
        <v>2.6</v>
      </c>
    </row>
    <row r="173" spans="2:3" x14ac:dyDescent="0.25">
      <c r="B173" s="139">
        <v>250</v>
      </c>
      <c r="C173" s="140">
        <f>IF((17/3)-(5*Punkteschnitt_420_tab[[#This Row],[Punkte]]/$B$3)&lt;1,1,TRUNC((17/3)-(5*Punkteschnitt_420_tab[[#This Row],[Punkte]]/$B$3),1))</f>
        <v>2.6</v>
      </c>
    </row>
    <row r="174" spans="2:3" x14ac:dyDescent="0.25">
      <c r="B174" s="139">
        <v>249</v>
      </c>
      <c r="C174" s="140">
        <f>IF((17/3)-(5*Punkteschnitt_420_tab[[#This Row],[Punkte]]/$B$3)&lt;1,1,TRUNC((17/3)-(5*Punkteschnitt_420_tab[[#This Row],[Punkte]]/$B$3),1))</f>
        <v>2.7</v>
      </c>
    </row>
    <row r="175" spans="2:3" x14ac:dyDescent="0.25">
      <c r="B175" s="139">
        <v>248</v>
      </c>
      <c r="C175" s="140">
        <f>IF((17/3)-(5*Punkteschnitt_420_tab[[#This Row],[Punkte]]/$B$3)&lt;1,1,TRUNC((17/3)-(5*Punkteschnitt_420_tab[[#This Row],[Punkte]]/$B$3),1))</f>
        <v>2.7</v>
      </c>
    </row>
    <row r="176" spans="2:3" x14ac:dyDescent="0.25">
      <c r="B176" s="139">
        <v>247</v>
      </c>
      <c r="C176" s="140">
        <f>IF((17/3)-(5*Punkteschnitt_420_tab[[#This Row],[Punkte]]/$B$3)&lt;1,1,TRUNC((17/3)-(5*Punkteschnitt_420_tab[[#This Row],[Punkte]]/$B$3),1))</f>
        <v>2.7</v>
      </c>
    </row>
    <row r="177" spans="2:3" x14ac:dyDescent="0.25">
      <c r="B177" s="139">
        <v>246</v>
      </c>
      <c r="C177" s="140">
        <f>IF((17/3)-(5*Punkteschnitt_420_tab[[#This Row],[Punkte]]/$B$3)&lt;1,1,TRUNC((17/3)-(5*Punkteschnitt_420_tab[[#This Row],[Punkte]]/$B$3),1))</f>
        <v>2.7</v>
      </c>
    </row>
    <row r="178" spans="2:3" x14ac:dyDescent="0.25">
      <c r="B178" s="139">
        <v>245</v>
      </c>
      <c r="C178" s="140">
        <f>IF((17/3)-(5*Punkteschnitt_420_tab[[#This Row],[Punkte]]/$B$3)&lt;1,1,TRUNC((17/3)-(5*Punkteschnitt_420_tab[[#This Row],[Punkte]]/$B$3),1))</f>
        <v>2.7</v>
      </c>
    </row>
    <row r="179" spans="2:3" x14ac:dyDescent="0.25">
      <c r="B179" s="139">
        <v>244</v>
      </c>
      <c r="C179" s="140">
        <f>IF((17/3)-(5*Punkteschnitt_420_tab[[#This Row],[Punkte]]/$B$3)&lt;1,1,TRUNC((17/3)-(5*Punkteschnitt_420_tab[[#This Row],[Punkte]]/$B$3),1))</f>
        <v>2.7</v>
      </c>
    </row>
    <row r="180" spans="2:3" x14ac:dyDescent="0.25">
      <c r="B180" s="139">
        <v>243</v>
      </c>
      <c r="C180" s="140">
        <f>IF((17/3)-(5*Punkteschnitt_420_tab[[#This Row],[Punkte]]/$B$3)&lt;1,1,TRUNC((17/3)-(5*Punkteschnitt_420_tab[[#This Row],[Punkte]]/$B$3),1))</f>
        <v>2.7</v>
      </c>
    </row>
    <row r="181" spans="2:3" x14ac:dyDescent="0.25">
      <c r="B181" s="139">
        <v>242</v>
      </c>
      <c r="C181" s="140">
        <f>IF((17/3)-(5*Punkteschnitt_420_tab[[#This Row],[Punkte]]/$B$3)&lt;1,1,TRUNC((17/3)-(5*Punkteschnitt_420_tab[[#This Row],[Punkte]]/$B$3),1))</f>
        <v>2.7</v>
      </c>
    </row>
    <row r="182" spans="2:3" x14ac:dyDescent="0.25">
      <c r="B182" s="139">
        <v>241</v>
      </c>
      <c r="C182" s="140">
        <f>IF((17/3)-(5*Punkteschnitt_420_tab[[#This Row],[Punkte]]/$B$3)&lt;1,1,TRUNC((17/3)-(5*Punkteschnitt_420_tab[[#This Row],[Punkte]]/$B$3),1))</f>
        <v>2.7</v>
      </c>
    </row>
    <row r="183" spans="2:3" x14ac:dyDescent="0.25">
      <c r="B183" s="139">
        <v>240</v>
      </c>
      <c r="C183" s="140">
        <f>IF((17/3)-(5*Punkteschnitt_420_tab[[#This Row],[Punkte]]/$B$3)&lt;1,1,TRUNC((17/3)-(5*Punkteschnitt_420_tab[[#This Row],[Punkte]]/$B$3),1))</f>
        <v>2.8</v>
      </c>
    </row>
    <row r="184" spans="2:3" x14ac:dyDescent="0.25">
      <c r="B184" s="139">
        <v>239</v>
      </c>
      <c r="C184" s="140">
        <f>IF((17/3)-(5*Punkteschnitt_420_tab[[#This Row],[Punkte]]/$B$3)&lt;1,1,TRUNC((17/3)-(5*Punkteschnitt_420_tab[[#This Row],[Punkte]]/$B$3),1))</f>
        <v>2.8</v>
      </c>
    </row>
    <row r="185" spans="2:3" x14ac:dyDescent="0.25">
      <c r="B185" s="139">
        <v>238</v>
      </c>
      <c r="C185" s="140">
        <f>IF((17/3)-(5*Punkteschnitt_420_tab[[#This Row],[Punkte]]/$B$3)&lt;1,1,TRUNC((17/3)-(5*Punkteschnitt_420_tab[[#This Row],[Punkte]]/$B$3),1))</f>
        <v>2.8</v>
      </c>
    </row>
    <row r="186" spans="2:3" x14ac:dyDescent="0.25">
      <c r="B186" s="139">
        <v>237</v>
      </c>
      <c r="C186" s="140">
        <f>IF((17/3)-(5*Punkteschnitt_420_tab[[#This Row],[Punkte]]/$B$3)&lt;1,1,TRUNC((17/3)-(5*Punkteschnitt_420_tab[[#This Row],[Punkte]]/$B$3),1))</f>
        <v>2.8</v>
      </c>
    </row>
    <row r="187" spans="2:3" x14ac:dyDescent="0.25">
      <c r="B187" s="139">
        <v>236</v>
      </c>
      <c r="C187" s="140">
        <f>IF((17/3)-(5*Punkteschnitt_420_tab[[#This Row],[Punkte]]/$B$3)&lt;1,1,TRUNC((17/3)-(5*Punkteschnitt_420_tab[[#This Row],[Punkte]]/$B$3),1))</f>
        <v>2.8</v>
      </c>
    </row>
    <row r="188" spans="2:3" x14ac:dyDescent="0.25">
      <c r="B188" s="139">
        <v>235</v>
      </c>
      <c r="C188" s="140">
        <f>IF((17/3)-(5*Punkteschnitt_420_tab[[#This Row],[Punkte]]/$B$3)&lt;1,1,TRUNC((17/3)-(5*Punkteschnitt_420_tab[[#This Row],[Punkte]]/$B$3),1))</f>
        <v>2.8</v>
      </c>
    </row>
    <row r="189" spans="2:3" x14ac:dyDescent="0.25">
      <c r="B189" s="139">
        <v>234</v>
      </c>
      <c r="C189" s="140">
        <f>IF((17/3)-(5*Punkteschnitt_420_tab[[#This Row],[Punkte]]/$B$3)&lt;1,1,TRUNC((17/3)-(5*Punkteschnitt_420_tab[[#This Row],[Punkte]]/$B$3),1))</f>
        <v>2.8</v>
      </c>
    </row>
    <row r="190" spans="2:3" x14ac:dyDescent="0.25">
      <c r="B190" s="139">
        <v>233</v>
      </c>
      <c r="C190" s="140">
        <f>IF((17/3)-(5*Punkteschnitt_420_tab[[#This Row],[Punkte]]/$B$3)&lt;1,1,TRUNC((17/3)-(5*Punkteschnitt_420_tab[[#This Row],[Punkte]]/$B$3),1))</f>
        <v>2.8</v>
      </c>
    </row>
    <row r="191" spans="2:3" x14ac:dyDescent="0.25">
      <c r="B191" s="139">
        <v>232</v>
      </c>
      <c r="C191" s="140">
        <f>IF((17/3)-(5*Punkteschnitt_420_tab[[#This Row],[Punkte]]/$B$3)&lt;1,1,TRUNC((17/3)-(5*Punkteschnitt_420_tab[[#This Row],[Punkte]]/$B$3),1))</f>
        <v>2.9</v>
      </c>
    </row>
    <row r="192" spans="2:3" x14ac:dyDescent="0.25">
      <c r="B192" s="139">
        <v>231</v>
      </c>
      <c r="C192" s="140">
        <f>IF((17/3)-(5*Punkteschnitt_420_tab[[#This Row],[Punkte]]/$B$3)&lt;1,1,TRUNC((17/3)-(5*Punkteschnitt_420_tab[[#This Row],[Punkte]]/$B$3),1))</f>
        <v>2.9</v>
      </c>
    </row>
    <row r="193" spans="2:3" x14ac:dyDescent="0.25">
      <c r="B193" s="139">
        <v>230</v>
      </c>
      <c r="C193" s="140">
        <f>IF((17/3)-(5*Punkteschnitt_420_tab[[#This Row],[Punkte]]/$B$3)&lt;1,1,TRUNC((17/3)-(5*Punkteschnitt_420_tab[[#This Row],[Punkte]]/$B$3),1))</f>
        <v>2.9</v>
      </c>
    </row>
    <row r="194" spans="2:3" x14ac:dyDescent="0.25">
      <c r="B194" s="139">
        <v>229</v>
      </c>
      <c r="C194" s="140">
        <f>IF((17/3)-(5*Punkteschnitt_420_tab[[#This Row],[Punkte]]/$B$3)&lt;1,1,TRUNC((17/3)-(5*Punkteschnitt_420_tab[[#This Row],[Punkte]]/$B$3),1))</f>
        <v>2.9</v>
      </c>
    </row>
    <row r="195" spans="2:3" x14ac:dyDescent="0.25">
      <c r="B195" s="139">
        <v>228</v>
      </c>
      <c r="C195" s="140">
        <f>IF((17/3)-(5*Punkteschnitt_420_tab[[#This Row],[Punkte]]/$B$3)&lt;1,1,TRUNC((17/3)-(5*Punkteschnitt_420_tab[[#This Row],[Punkte]]/$B$3),1))</f>
        <v>2.9</v>
      </c>
    </row>
    <row r="196" spans="2:3" x14ac:dyDescent="0.25">
      <c r="B196" s="139">
        <v>227</v>
      </c>
      <c r="C196" s="140">
        <f>IF((17/3)-(5*Punkteschnitt_420_tab[[#This Row],[Punkte]]/$B$3)&lt;1,1,TRUNC((17/3)-(5*Punkteschnitt_420_tab[[#This Row],[Punkte]]/$B$3),1))</f>
        <v>2.9</v>
      </c>
    </row>
    <row r="197" spans="2:3" x14ac:dyDescent="0.25">
      <c r="B197" s="139">
        <v>226</v>
      </c>
      <c r="C197" s="140">
        <f>IF((17/3)-(5*Punkteschnitt_420_tab[[#This Row],[Punkte]]/$B$3)&lt;1,1,TRUNC((17/3)-(5*Punkteschnitt_420_tab[[#This Row],[Punkte]]/$B$3),1))</f>
        <v>2.9</v>
      </c>
    </row>
    <row r="198" spans="2:3" x14ac:dyDescent="0.25">
      <c r="B198" s="139">
        <v>225</v>
      </c>
      <c r="C198" s="140">
        <f>IF((17/3)-(5*Punkteschnitt_420_tab[[#This Row],[Punkte]]/$B$3)&lt;1,1,TRUNC((17/3)-(5*Punkteschnitt_420_tab[[#This Row],[Punkte]]/$B$3),1))</f>
        <v>2.9</v>
      </c>
    </row>
    <row r="199" spans="2:3" x14ac:dyDescent="0.25">
      <c r="B199" s="139">
        <v>224</v>
      </c>
      <c r="C199" s="140">
        <f>IF((17/3)-(5*Punkteschnitt_420_tab[[#This Row],[Punkte]]/$B$3)&lt;1,1,TRUNC((17/3)-(5*Punkteschnitt_420_tab[[#This Row],[Punkte]]/$B$3),1))</f>
        <v>3</v>
      </c>
    </row>
    <row r="200" spans="2:3" x14ac:dyDescent="0.25">
      <c r="B200" s="139">
        <v>223</v>
      </c>
      <c r="C200" s="140">
        <f>IF((17/3)-(5*Punkteschnitt_420_tab[[#This Row],[Punkte]]/$B$3)&lt;1,1,TRUNC((17/3)-(5*Punkteschnitt_420_tab[[#This Row],[Punkte]]/$B$3),1))</f>
        <v>3</v>
      </c>
    </row>
    <row r="201" spans="2:3" x14ac:dyDescent="0.25">
      <c r="B201" s="139">
        <v>222</v>
      </c>
      <c r="C201" s="140">
        <f>IF((17/3)-(5*Punkteschnitt_420_tab[[#This Row],[Punkte]]/$B$3)&lt;1,1,TRUNC((17/3)-(5*Punkteschnitt_420_tab[[#This Row],[Punkte]]/$B$3),1))</f>
        <v>3</v>
      </c>
    </row>
    <row r="202" spans="2:3" x14ac:dyDescent="0.25">
      <c r="B202" s="139">
        <v>221</v>
      </c>
      <c r="C202" s="140">
        <f>IF((17/3)-(5*Punkteschnitt_420_tab[[#This Row],[Punkte]]/$B$3)&lt;1,1,TRUNC((17/3)-(5*Punkteschnitt_420_tab[[#This Row],[Punkte]]/$B$3),1))</f>
        <v>3</v>
      </c>
    </row>
    <row r="203" spans="2:3" x14ac:dyDescent="0.25">
      <c r="B203" s="139">
        <v>220</v>
      </c>
      <c r="C203" s="140">
        <f>IF((17/3)-(5*Punkteschnitt_420_tab[[#This Row],[Punkte]]/$B$3)&lt;1,1,TRUNC((17/3)-(5*Punkteschnitt_420_tab[[#This Row],[Punkte]]/$B$3),1))</f>
        <v>3</v>
      </c>
    </row>
    <row r="204" spans="2:3" x14ac:dyDescent="0.25">
      <c r="B204" s="139">
        <v>219</v>
      </c>
      <c r="C204" s="140">
        <f>IF((17/3)-(5*Punkteschnitt_420_tab[[#This Row],[Punkte]]/$B$3)&lt;1,1,TRUNC((17/3)-(5*Punkteschnitt_420_tab[[#This Row],[Punkte]]/$B$3),1))</f>
        <v>3</v>
      </c>
    </row>
    <row r="205" spans="2:3" x14ac:dyDescent="0.25">
      <c r="B205" s="139">
        <v>218</v>
      </c>
      <c r="C205" s="140">
        <f>IF((17/3)-(5*Punkteschnitt_420_tab[[#This Row],[Punkte]]/$B$3)&lt;1,1,TRUNC((17/3)-(5*Punkteschnitt_420_tab[[#This Row],[Punkte]]/$B$3),1))</f>
        <v>3</v>
      </c>
    </row>
    <row r="206" spans="2:3" x14ac:dyDescent="0.25">
      <c r="B206" s="139">
        <v>217</v>
      </c>
      <c r="C206" s="140">
        <f>IF((17/3)-(5*Punkteschnitt_420_tab[[#This Row],[Punkte]]/$B$3)&lt;1,1,TRUNC((17/3)-(5*Punkteschnitt_420_tab[[#This Row],[Punkte]]/$B$3),1))</f>
        <v>3</v>
      </c>
    </row>
    <row r="207" spans="2:3" x14ac:dyDescent="0.25">
      <c r="B207" s="139">
        <v>216</v>
      </c>
      <c r="C207" s="140">
        <f>IF((17/3)-(5*Punkteschnitt_420_tab[[#This Row],[Punkte]]/$B$3)&lt;1,1,TRUNC((17/3)-(5*Punkteschnitt_420_tab[[#This Row],[Punkte]]/$B$3),1))</f>
        <v>3</v>
      </c>
    </row>
    <row r="208" spans="2:3" x14ac:dyDescent="0.25">
      <c r="B208" s="139">
        <v>215</v>
      </c>
      <c r="C208" s="140">
        <f>IF((17/3)-(5*Punkteschnitt_420_tab[[#This Row],[Punkte]]/$B$3)&lt;1,1,TRUNC((17/3)-(5*Punkteschnitt_420_tab[[#This Row],[Punkte]]/$B$3),1))</f>
        <v>3.1</v>
      </c>
    </row>
    <row r="209" spans="2:3" x14ac:dyDescent="0.25">
      <c r="B209" s="139">
        <v>214</v>
      </c>
      <c r="C209" s="140">
        <f>IF((17/3)-(5*Punkteschnitt_420_tab[[#This Row],[Punkte]]/$B$3)&lt;1,1,TRUNC((17/3)-(5*Punkteschnitt_420_tab[[#This Row],[Punkte]]/$B$3),1))</f>
        <v>3.1</v>
      </c>
    </row>
    <row r="210" spans="2:3" x14ac:dyDescent="0.25">
      <c r="B210" s="139">
        <v>213</v>
      </c>
      <c r="C210" s="140">
        <f>IF((17/3)-(5*Punkteschnitt_420_tab[[#This Row],[Punkte]]/$B$3)&lt;1,1,TRUNC((17/3)-(5*Punkteschnitt_420_tab[[#This Row],[Punkte]]/$B$3),1))</f>
        <v>3.1</v>
      </c>
    </row>
    <row r="211" spans="2:3" x14ac:dyDescent="0.25">
      <c r="B211" s="139">
        <v>212</v>
      </c>
      <c r="C211" s="140">
        <f>IF((17/3)-(5*Punkteschnitt_420_tab[[#This Row],[Punkte]]/$B$3)&lt;1,1,TRUNC((17/3)-(5*Punkteschnitt_420_tab[[#This Row],[Punkte]]/$B$3),1))</f>
        <v>3.1</v>
      </c>
    </row>
    <row r="212" spans="2:3" x14ac:dyDescent="0.25">
      <c r="B212" s="139">
        <v>211</v>
      </c>
      <c r="C212" s="140">
        <f>IF((17/3)-(5*Punkteschnitt_420_tab[[#This Row],[Punkte]]/$B$3)&lt;1,1,TRUNC((17/3)-(5*Punkteschnitt_420_tab[[#This Row],[Punkte]]/$B$3),1))</f>
        <v>3.1</v>
      </c>
    </row>
    <row r="213" spans="2:3" x14ac:dyDescent="0.25">
      <c r="B213" s="139">
        <v>210</v>
      </c>
      <c r="C213" s="140">
        <f>IF((17/3)-(5*Punkteschnitt_420_tab[[#This Row],[Punkte]]/$B$3)&lt;1,1,TRUNC((17/3)-(5*Punkteschnitt_420_tab[[#This Row],[Punkte]]/$B$3),1))</f>
        <v>3.1</v>
      </c>
    </row>
    <row r="214" spans="2:3" x14ac:dyDescent="0.25">
      <c r="B214" s="139">
        <v>209</v>
      </c>
      <c r="C214" s="140">
        <f>IF((17/3)-(5*Punkteschnitt_420_tab[[#This Row],[Punkte]]/$B$3)&lt;1,1,TRUNC((17/3)-(5*Punkteschnitt_420_tab[[#This Row],[Punkte]]/$B$3),1))</f>
        <v>3.1</v>
      </c>
    </row>
    <row r="215" spans="2:3" x14ac:dyDescent="0.25">
      <c r="B215" s="139">
        <v>208</v>
      </c>
      <c r="C215" s="140">
        <f>IF((17/3)-(5*Punkteschnitt_420_tab[[#This Row],[Punkte]]/$B$3)&lt;1,1,TRUNC((17/3)-(5*Punkteschnitt_420_tab[[#This Row],[Punkte]]/$B$3),1))</f>
        <v>3.1</v>
      </c>
    </row>
    <row r="216" spans="2:3" x14ac:dyDescent="0.25">
      <c r="B216" s="139">
        <v>207</v>
      </c>
      <c r="C216" s="140">
        <f>IF((17/3)-(5*Punkteschnitt_420_tab[[#This Row],[Punkte]]/$B$3)&lt;1,1,TRUNC((17/3)-(5*Punkteschnitt_420_tab[[#This Row],[Punkte]]/$B$3),1))</f>
        <v>3.2</v>
      </c>
    </row>
    <row r="217" spans="2:3" x14ac:dyDescent="0.25">
      <c r="B217" s="139">
        <v>206</v>
      </c>
      <c r="C217" s="140">
        <f>IF((17/3)-(5*Punkteschnitt_420_tab[[#This Row],[Punkte]]/$B$3)&lt;1,1,TRUNC((17/3)-(5*Punkteschnitt_420_tab[[#This Row],[Punkte]]/$B$3),1))</f>
        <v>3.2</v>
      </c>
    </row>
    <row r="218" spans="2:3" x14ac:dyDescent="0.25">
      <c r="B218" s="139">
        <v>205</v>
      </c>
      <c r="C218" s="140">
        <f>IF((17/3)-(5*Punkteschnitt_420_tab[[#This Row],[Punkte]]/$B$3)&lt;1,1,TRUNC((17/3)-(5*Punkteschnitt_420_tab[[#This Row],[Punkte]]/$B$3),1))</f>
        <v>3.2</v>
      </c>
    </row>
    <row r="219" spans="2:3" x14ac:dyDescent="0.25">
      <c r="B219" s="139">
        <v>204</v>
      </c>
      <c r="C219" s="140">
        <f>IF((17/3)-(5*Punkteschnitt_420_tab[[#This Row],[Punkte]]/$B$3)&lt;1,1,TRUNC((17/3)-(5*Punkteschnitt_420_tab[[#This Row],[Punkte]]/$B$3),1))</f>
        <v>3.2</v>
      </c>
    </row>
    <row r="220" spans="2:3" x14ac:dyDescent="0.25">
      <c r="B220" s="139">
        <v>203</v>
      </c>
      <c r="C220" s="140">
        <f>IF((17/3)-(5*Punkteschnitt_420_tab[[#This Row],[Punkte]]/$B$3)&lt;1,1,TRUNC((17/3)-(5*Punkteschnitt_420_tab[[#This Row],[Punkte]]/$B$3),1))</f>
        <v>3.2</v>
      </c>
    </row>
    <row r="221" spans="2:3" x14ac:dyDescent="0.25">
      <c r="B221" s="139">
        <v>202</v>
      </c>
      <c r="C221" s="140">
        <f>IF((17/3)-(5*Punkteschnitt_420_tab[[#This Row],[Punkte]]/$B$3)&lt;1,1,TRUNC((17/3)-(5*Punkteschnitt_420_tab[[#This Row],[Punkte]]/$B$3),1))</f>
        <v>3.2</v>
      </c>
    </row>
    <row r="222" spans="2:3" x14ac:dyDescent="0.25">
      <c r="B222" s="139">
        <v>201</v>
      </c>
      <c r="C222" s="140">
        <f>IF((17/3)-(5*Punkteschnitt_420_tab[[#This Row],[Punkte]]/$B$3)&lt;1,1,TRUNC((17/3)-(5*Punkteschnitt_420_tab[[#This Row],[Punkte]]/$B$3),1))</f>
        <v>3.2</v>
      </c>
    </row>
    <row r="223" spans="2:3" x14ac:dyDescent="0.25">
      <c r="B223" s="139">
        <v>200</v>
      </c>
      <c r="C223" s="140">
        <f>IF((17/3)-(5*Punkteschnitt_420_tab[[#This Row],[Punkte]]/$B$3)&lt;1,1,TRUNC((17/3)-(5*Punkteschnitt_420_tab[[#This Row],[Punkte]]/$B$3),1))</f>
        <v>3.2</v>
      </c>
    </row>
    <row r="224" spans="2:3" x14ac:dyDescent="0.25">
      <c r="B224" s="139">
        <v>199</v>
      </c>
      <c r="C224" s="140">
        <f>IF((17/3)-(5*Punkteschnitt_420_tab[[#This Row],[Punkte]]/$B$3)&lt;1,1,TRUNC((17/3)-(5*Punkteschnitt_420_tab[[#This Row],[Punkte]]/$B$3),1))</f>
        <v>3.2</v>
      </c>
    </row>
    <row r="225" spans="2:3" x14ac:dyDescent="0.25">
      <c r="B225" s="139">
        <v>198</v>
      </c>
      <c r="C225" s="140">
        <f>IF((17/3)-(5*Punkteschnitt_420_tab[[#This Row],[Punkte]]/$B$3)&lt;1,1,TRUNC((17/3)-(5*Punkteschnitt_420_tab[[#This Row],[Punkte]]/$B$3),1))</f>
        <v>3.3</v>
      </c>
    </row>
    <row r="226" spans="2:3" x14ac:dyDescent="0.25">
      <c r="B226" s="139">
        <v>197</v>
      </c>
      <c r="C226" s="140">
        <f>IF((17/3)-(5*Punkteschnitt_420_tab[[#This Row],[Punkte]]/$B$3)&lt;1,1,TRUNC((17/3)-(5*Punkteschnitt_420_tab[[#This Row],[Punkte]]/$B$3),1))</f>
        <v>3.3</v>
      </c>
    </row>
    <row r="227" spans="2:3" x14ac:dyDescent="0.25">
      <c r="B227" s="139">
        <v>196</v>
      </c>
      <c r="C227" s="140">
        <f>IF((17/3)-(5*Punkteschnitt_420_tab[[#This Row],[Punkte]]/$B$3)&lt;1,1,TRUNC((17/3)-(5*Punkteschnitt_420_tab[[#This Row],[Punkte]]/$B$3),1))</f>
        <v>3.3</v>
      </c>
    </row>
    <row r="228" spans="2:3" x14ac:dyDescent="0.25">
      <c r="B228" s="139">
        <v>195</v>
      </c>
      <c r="C228" s="140">
        <f>IF((17/3)-(5*Punkteschnitt_420_tab[[#This Row],[Punkte]]/$B$3)&lt;1,1,TRUNC((17/3)-(5*Punkteschnitt_420_tab[[#This Row],[Punkte]]/$B$3),1))</f>
        <v>3.3</v>
      </c>
    </row>
    <row r="229" spans="2:3" x14ac:dyDescent="0.25">
      <c r="B229" s="139">
        <v>194</v>
      </c>
      <c r="C229" s="140">
        <f>IF((17/3)-(5*Punkteschnitt_420_tab[[#This Row],[Punkte]]/$B$3)&lt;1,1,TRUNC((17/3)-(5*Punkteschnitt_420_tab[[#This Row],[Punkte]]/$B$3),1))</f>
        <v>3.3</v>
      </c>
    </row>
    <row r="230" spans="2:3" x14ac:dyDescent="0.25">
      <c r="B230" s="139">
        <v>193</v>
      </c>
      <c r="C230" s="140">
        <f>IF((17/3)-(5*Punkteschnitt_420_tab[[#This Row],[Punkte]]/$B$3)&lt;1,1,TRUNC((17/3)-(5*Punkteschnitt_420_tab[[#This Row],[Punkte]]/$B$3),1))</f>
        <v>3.3</v>
      </c>
    </row>
    <row r="231" spans="2:3" x14ac:dyDescent="0.25">
      <c r="B231" s="139">
        <v>192</v>
      </c>
      <c r="C231" s="140">
        <f>IF((17/3)-(5*Punkteschnitt_420_tab[[#This Row],[Punkte]]/$B$3)&lt;1,1,TRUNC((17/3)-(5*Punkteschnitt_420_tab[[#This Row],[Punkte]]/$B$3),1))</f>
        <v>3.3</v>
      </c>
    </row>
    <row r="232" spans="2:3" x14ac:dyDescent="0.25">
      <c r="B232" s="139">
        <v>191</v>
      </c>
      <c r="C232" s="140">
        <f>IF((17/3)-(5*Punkteschnitt_420_tab[[#This Row],[Punkte]]/$B$3)&lt;1,1,TRUNC((17/3)-(5*Punkteschnitt_420_tab[[#This Row],[Punkte]]/$B$3),1))</f>
        <v>3.3</v>
      </c>
    </row>
    <row r="233" spans="2:3" x14ac:dyDescent="0.25">
      <c r="B233" s="139">
        <v>190</v>
      </c>
      <c r="C233" s="140">
        <f>IF((17/3)-(5*Punkteschnitt_420_tab[[#This Row],[Punkte]]/$B$3)&lt;1,1,TRUNC((17/3)-(5*Punkteschnitt_420_tab[[#This Row],[Punkte]]/$B$3),1))</f>
        <v>3.4</v>
      </c>
    </row>
    <row r="234" spans="2:3" x14ac:dyDescent="0.25">
      <c r="B234" s="139">
        <v>189</v>
      </c>
      <c r="C234" s="140">
        <f>IF((17/3)-(5*Punkteschnitt_420_tab[[#This Row],[Punkte]]/$B$3)&lt;1,1,TRUNC((17/3)-(5*Punkteschnitt_420_tab[[#This Row],[Punkte]]/$B$3),1))</f>
        <v>3.4</v>
      </c>
    </row>
    <row r="235" spans="2:3" x14ac:dyDescent="0.25">
      <c r="B235" s="139">
        <v>188</v>
      </c>
      <c r="C235" s="140">
        <f>IF((17/3)-(5*Punkteschnitt_420_tab[[#This Row],[Punkte]]/$B$3)&lt;1,1,TRUNC((17/3)-(5*Punkteschnitt_420_tab[[#This Row],[Punkte]]/$B$3),1))</f>
        <v>3.4</v>
      </c>
    </row>
    <row r="236" spans="2:3" x14ac:dyDescent="0.25">
      <c r="B236" s="139">
        <v>187</v>
      </c>
      <c r="C236" s="140">
        <f>IF((17/3)-(5*Punkteschnitt_420_tab[[#This Row],[Punkte]]/$B$3)&lt;1,1,TRUNC((17/3)-(5*Punkteschnitt_420_tab[[#This Row],[Punkte]]/$B$3),1))</f>
        <v>3.4</v>
      </c>
    </row>
    <row r="237" spans="2:3" x14ac:dyDescent="0.25">
      <c r="B237" s="139">
        <v>186</v>
      </c>
      <c r="C237" s="140">
        <f>IF((17/3)-(5*Punkteschnitt_420_tab[[#This Row],[Punkte]]/$B$3)&lt;1,1,TRUNC((17/3)-(5*Punkteschnitt_420_tab[[#This Row],[Punkte]]/$B$3),1))</f>
        <v>3.4</v>
      </c>
    </row>
    <row r="238" spans="2:3" x14ac:dyDescent="0.25">
      <c r="B238" s="139">
        <v>185</v>
      </c>
      <c r="C238" s="140">
        <f>IF((17/3)-(5*Punkteschnitt_420_tab[[#This Row],[Punkte]]/$B$3)&lt;1,1,TRUNC((17/3)-(5*Punkteschnitt_420_tab[[#This Row],[Punkte]]/$B$3),1))</f>
        <v>3.4</v>
      </c>
    </row>
    <row r="239" spans="2:3" x14ac:dyDescent="0.25">
      <c r="B239" s="139">
        <v>184</v>
      </c>
      <c r="C239" s="140">
        <f>IF((17/3)-(5*Punkteschnitt_420_tab[[#This Row],[Punkte]]/$B$3)&lt;1,1,TRUNC((17/3)-(5*Punkteschnitt_420_tab[[#This Row],[Punkte]]/$B$3),1))</f>
        <v>3.4</v>
      </c>
    </row>
    <row r="240" spans="2:3" x14ac:dyDescent="0.25">
      <c r="B240" s="139">
        <v>183</v>
      </c>
      <c r="C240" s="140">
        <f>IF((17/3)-(5*Punkteschnitt_420_tab[[#This Row],[Punkte]]/$B$3)&lt;1,1,TRUNC((17/3)-(5*Punkteschnitt_420_tab[[#This Row],[Punkte]]/$B$3),1))</f>
        <v>3.4</v>
      </c>
    </row>
    <row r="241" spans="2:3" x14ac:dyDescent="0.25">
      <c r="B241" s="139">
        <v>182</v>
      </c>
      <c r="C241" s="140">
        <f>IF((17/3)-(5*Punkteschnitt_420_tab[[#This Row],[Punkte]]/$B$3)&lt;1,1,TRUNC((17/3)-(5*Punkteschnitt_420_tab[[#This Row],[Punkte]]/$B$3),1))</f>
        <v>3.5</v>
      </c>
    </row>
    <row r="242" spans="2:3" x14ac:dyDescent="0.25">
      <c r="B242" s="139">
        <v>181</v>
      </c>
      <c r="C242" s="140">
        <f>IF((17/3)-(5*Punkteschnitt_420_tab[[#This Row],[Punkte]]/$B$3)&lt;1,1,TRUNC((17/3)-(5*Punkteschnitt_420_tab[[#This Row],[Punkte]]/$B$3),1))</f>
        <v>3.5</v>
      </c>
    </row>
    <row r="243" spans="2:3" x14ac:dyDescent="0.25">
      <c r="B243" s="139">
        <v>180</v>
      </c>
      <c r="C243" s="140">
        <f>IF((17/3)-(5*Punkteschnitt_420_tab[[#This Row],[Punkte]]/$B$3)&lt;1,1,TRUNC((17/3)-(5*Punkteschnitt_420_tab[[#This Row],[Punkte]]/$B$3),1))</f>
        <v>3.5</v>
      </c>
    </row>
    <row r="244" spans="2:3" x14ac:dyDescent="0.25">
      <c r="B244" s="139">
        <v>179</v>
      </c>
      <c r="C244" s="140">
        <f>IF((17/3)-(5*Punkteschnitt_420_tab[[#This Row],[Punkte]]/$B$3)&lt;1,1,TRUNC((17/3)-(5*Punkteschnitt_420_tab[[#This Row],[Punkte]]/$B$3),1))</f>
        <v>3.5</v>
      </c>
    </row>
    <row r="245" spans="2:3" x14ac:dyDescent="0.25">
      <c r="B245" s="139">
        <v>178</v>
      </c>
      <c r="C245" s="140">
        <f>IF((17/3)-(5*Punkteschnitt_420_tab[[#This Row],[Punkte]]/$B$3)&lt;1,1,TRUNC((17/3)-(5*Punkteschnitt_420_tab[[#This Row],[Punkte]]/$B$3),1))</f>
        <v>3.5</v>
      </c>
    </row>
    <row r="246" spans="2:3" x14ac:dyDescent="0.25">
      <c r="B246" s="139">
        <v>177</v>
      </c>
      <c r="C246" s="140">
        <f>IF((17/3)-(5*Punkteschnitt_420_tab[[#This Row],[Punkte]]/$B$3)&lt;1,1,TRUNC((17/3)-(5*Punkteschnitt_420_tab[[#This Row],[Punkte]]/$B$3),1))</f>
        <v>3.5</v>
      </c>
    </row>
    <row r="247" spans="2:3" x14ac:dyDescent="0.25">
      <c r="B247" s="139">
        <v>176</v>
      </c>
      <c r="C247" s="140">
        <f>IF((17/3)-(5*Punkteschnitt_420_tab[[#This Row],[Punkte]]/$B$3)&lt;1,1,TRUNC((17/3)-(5*Punkteschnitt_420_tab[[#This Row],[Punkte]]/$B$3),1))</f>
        <v>3.5</v>
      </c>
    </row>
    <row r="248" spans="2:3" x14ac:dyDescent="0.25">
      <c r="B248" s="139">
        <v>175</v>
      </c>
      <c r="C248" s="140">
        <f>IF((17/3)-(5*Punkteschnitt_420_tab[[#This Row],[Punkte]]/$B$3)&lt;1,1,TRUNC((17/3)-(5*Punkteschnitt_420_tab[[#This Row],[Punkte]]/$B$3),1))</f>
        <v>3.5</v>
      </c>
    </row>
    <row r="249" spans="2:3" x14ac:dyDescent="0.25">
      <c r="B249" s="139">
        <v>174</v>
      </c>
      <c r="C249" s="140">
        <f>IF((17/3)-(5*Punkteschnitt_420_tab[[#This Row],[Punkte]]/$B$3)&lt;1,1,TRUNC((17/3)-(5*Punkteschnitt_420_tab[[#This Row],[Punkte]]/$B$3),1))</f>
        <v>3.5</v>
      </c>
    </row>
    <row r="250" spans="2:3" x14ac:dyDescent="0.25">
      <c r="B250" s="139">
        <v>173</v>
      </c>
      <c r="C250" s="140">
        <f>IF((17/3)-(5*Punkteschnitt_420_tab[[#This Row],[Punkte]]/$B$3)&lt;1,1,TRUNC((17/3)-(5*Punkteschnitt_420_tab[[#This Row],[Punkte]]/$B$3),1))</f>
        <v>3.6</v>
      </c>
    </row>
    <row r="251" spans="2:3" x14ac:dyDescent="0.25">
      <c r="B251" s="139">
        <v>172</v>
      </c>
      <c r="C251" s="140">
        <f>IF((17/3)-(5*Punkteschnitt_420_tab[[#This Row],[Punkte]]/$B$3)&lt;1,1,TRUNC((17/3)-(5*Punkteschnitt_420_tab[[#This Row],[Punkte]]/$B$3),1))</f>
        <v>3.6</v>
      </c>
    </row>
    <row r="252" spans="2:3" x14ac:dyDescent="0.25">
      <c r="B252" s="139">
        <v>171</v>
      </c>
      <c r="C252" s="140">
        <f>IF((17/3)-(5*Punkteschnitt_420_tab[[#This Row],[Punkte]]/$B$3)&lt;1,1,TRUNC((17/3)-(5*Punkteschnitt_420_tab[[#This Row],[Punkte]]/$B$3),1))</f>
        <v>3.6</v>
      </c>
    </row>
    <row r="253" spans="2:3" x14ac:dyDescent="0.25">
      <c r="B253" s="139">
        <v>170</v>
      </c>
      <c r="C253" s="140">
        <f>IF((17/3)-(5*Punkteschnitt_420_tab[[#This Row],[Punkte]]/$B$3)&lt;1,1,TRUNC((17/3)-(5*Punkteschnitt_420_tab[[#This Row],[Punkte]]/$B$3),1))</f>
        <v>3.6</v>
      </c>
    </row>
    <row r="254" spans="2:3" x14ac:dyDescent="0.25">
      <c r="B254" s="139">
        <v>169</v>
      </c>
      <c r="C254" s="140">
        <f>IF((17/3)-(5*Punkteschnitt_420_tab[[#This Row],[Punkte]]/$B$3)&lt;1,1,TRUNC((17/3)-(5*Punkteschnitt_420_tab[[#This Row],[Punkte]]/$B$3),1))</f>
        <v>3.6</v>
      </c>
    </row>
    <row r="255" spans="2:3" x14ac:dyDescent="0.25">
      <c r="B255" s="139">
        <v>168</v>
      </c>
      <c r="C255" s="140">
        <f>IF((17/3)-(5*Punkteschnitt_420_tab[[#This Row],[Punkte]]/$B$3)&lt;1,1,TRUNC((17/3)-(5*Punkteschnitt_420_tab[[#This Row],[Punkte]]/$B$3),1))</f>
        <v>3.6</v>
      </c>
    </row>
    <row r="256" spans="2:3" x14ac:dyDescent="0.25">
      <c r="B256" s="139">
        <v>167</v>
      </c>
      <c r="C256" s="140">
        <f>IF((17/3)-(5*Punkteschnitt_420_tab[[#This Row],[Punkte]]/$B$3)&lt;1,1,TRUNC((17/3)-(5*Punkteschnitt_420_tab[[#This Row],[Punkte]]/$B$3),1))</f>
        <v>3.6</v>
      </c>
    </row>
    <row r="257" spans="2:3" x14ac:dyDescent="0.25">
      <c r="B257" s="139">
        <v>166</v>
      </c>
      <c r="C257" s="140">
        <f>IF((17/3)-(5*Punkteschnitt_420_tab[[#This Row],[Punkte]]/$B$3)&lt;1,1,TRUNC((17/3)-(5*Punkteschnitt_420_tab[[#This Row],[Punkte]]/$B$3),1))</f>
        <v>3.6</v>
      </c>
    </row>
    <row r="258" spans="2:3" x14ac:dyDescent="0.25">
      <c r="B258" s="139">
        <v>165</v>
      </c>
      <c r="C258" s="140">
        <f>IF((17/3)-(5*Punkteschnitt_420_tab[[#This Row],[Punkte]]/$B$3)&lt;1,1,TRUNC((17/3)-(5*Punkteschnitt_420_tab[[#This Row],[Punkte]]/$B$3),1))</f>
        <v>3.7</v>
      </c>
    </row>
    <row r="259" spans="2:3" x14ac:dyDescent="0.25">
      <c r="B259" s="139">
        <v>164</v>
      </c>
      <c r="C259" s="140">
        <f>IF((17/3)-(5*Punkteschnitt_420_tab[[#This Row],[Punkte]]/$B$3)&lt;1,1,TRUNC((17/3)-(5*Punkteschnitt_420_tab[[#This Row],[Punkte]]/$B$3),1))</f>
        <v>3.7</v>
      </c>
    </row>
    <row r="260" spans="2:3" x14ac:dyDescent="0.25">
      <c r="B260" s="139">
        <v>163</v>
      </c>
      <c r="C260" s="140">
        <f>IF((17/3)-(5*Punkteschnitt_420_tab[[#This Row],[Punkte]]/$B$3)&lt;1,1,TRUNC((17/3)-(5*Punkteschnitt_420_tab[[#This Row],[Punkte]]/$B$3),1))</f>
        <v>3.7</v>
      </c>
    </row>
    <row r="261" spans="2:3" x14ac:dyDescent="0.25">
      <c r="B261" s="139">
        <v>162</v>
      </c>
      <c r="C261" s="140">
        <f>IF((17/3)-(5*Punkteschnitt_420_tab[[#This Row],[Punkte]]/$B$3)&lt;1,1,TRUNC((17/3)-(5*Punkteschnitt_420_tab[[#This Row],[Punkte]]/$B$3),1))</f>
        <v>3.7</v>
      </c>
    </row>
    <row r="262" spans="2:3" x14ac:dyDescent="0.25">
      <c r="B262" s="139">
        <v>161</v>
      </c>
      <c r="C262" s="140">
        <f>IF((17/3)-(5*Punkteschnitt_420_tab[[#This Row],[Punkte]]/$B$3)&lt;1,1,TRUNC((17/3)-(5*Punkteschnitt_420_tab[[#This Row],[Punkte]]/$B$3),1))</f>
        <v>3.7</v>
      </c>
    </row>
    <row r="263" spans="2:3" x14ac:dyDescent="0.25">
      <c r="B263" s="139">
        <v>160</v>
      </c>
      <c r="C263" s="140">
        <f>IF((17/3)-(5*Punkteschnitt_420_tab[[#This Row],[Punkte]]/$B$3)&lt;1,1,TRUNC((17/3)-(5*Punkteschnitt_420_tab[[#This Row],[Punkte]]/$B$3),1))</f>
        <v>3.7</v>
      </c>
    </row>
    <row r="264" spans="2:3" x14ac:dyDescent="0.25">
      <c r="B264" s="139">
        <v>159</v>
      </c>
      <c r="C264" s="140">
        <f>IF((17/3)-(5*Punkteschnitt_420_tab[[#This Row],[Punkte]]/$B$3)&lt;1,1,TRUNC((17/3)-(5*Punkteschnitt_420_tab[[#This Row],[Punkte]]/$B$3),1))</f>
        <v>3.7</v>
      </c>
    </row>
    <row r="265" spans="2:3" x14ac:dyDescent="0.25">
      <c r="B265" s="139">
        <v>158</v>
      </c>
      <c r="C265" s="140">
        <f>IF((17/3)-(5*Punkteschnitt_420_tab[[#This Row],[Punkte]]/$B$3)&lt;1,1,TRUNC((17/3)-(5*Punkteschnitt_420_tab[[#This Row],[Punkte]]/$B$3),1))</f>
        <v>3.7</v>
      </c>
    </row>
    <row r="266" spans="2:3" x14ac:dyDescent="0.25">
      <c r="B266" s="139">
        <v>157</v>
      </c>
      <c r="C266" s="140">
        <f>IF((17/3)-(5*Punkteschnitt_420_tab[[#This Row],[Punkte]]/$B$3)&lt;1,1,TRUNC((17/3)-(5*Punkteschnitt_420_tab[[#This Row],[Punkte]]/$B$3),1))</f>
        <v>3.7</v>
      </c>
    </row>
    <row r="267" spans="2:3" x14ac:dyDescent="0.25">
      <c r="B267" s="139">
        <v>156</v>
      </c>
      <c r="C267" s="140">
        <f>IF((17/3)-(5*Punkteschnitt_420_tab[[#This Row],[Punkte]]/$B$3)&lt;1,1,TRUNC((17/3)-(5*Punkteschnitt_420_tab[[#This Row],[Punkte]]/$B$3),1))</f>
        <v>3.8</v>
      </c>
    </row>
    <row r="268" spans="2:3" x14ac:dyDescent="0.25">
      <c r="B268" s="139">
        <v>155</v>
      </c>
      <c r="C268" s="140">
        <f>IF((17/3)-(5*Punkteschnitt_420_tab[[#This Row],[Punkte]]/$B$3)&lt;1,1,TRUNC((17/3)-(5*Punkteschnitt_420_tab[[#This Row],[Punkte]]/$B$3),1))</f>
        <v>3.8</v>
      </c>
    </row>
    <row r="269" spans="2:3" x14ac:dyDescent="0.25">
      <c r="B269" s="139">
        <v>154</v>
      </c>
      <c r="C269" s="140">
        <f>IF((17/3)-(5*Punkteschnitt_420_tab[[#This Row],[Punkte]]/$B$3)&lt;1,1,TRUNC((17/3)-(5*Punkteschnitt_420_tab[[#This Row],[Punkte]]/$B$3),1))</f>
        <v>3.8</v>
      </c>
    </row>
    <row r="270" spans="2:3" x14ac:dyDescent="0.25">
      <c r="B270" s="139">
        <v>153</v>
      </c>
      <c r="C270" s="140">
        <f>IF((17/3)-(5*Punkteschnitt_420_tab[[#This Row],[Punkte]]/$B$3)&lt;1,1,TRUNC((17/3)-(5*Punkteschnitt_420_tab[[#This Row],[Punkte]]/$B$3),1))</f>
        <v>3.8</v>
      </c>
    </row>
    <row r="271" spans="2:3" x14ac:dyDescent="0.25">
      <c r="B271" s="139">
        <v>152</v>
      </c>
      <c r="C271" s="140">
        <f>IF((17/3)-(5*Punkteschnitt_420_tab[[#This Row],[Punkte]]/$B$3)&lt;1,1,TRUNC((17/3)-(5*Punkteschnitt_420_tab[[#This Row],[Punkte]]/$B$3),1))</f>
        <v>3.8</v>
      </c>
    </row>
    <row r="272" spans="2:3" x14ac:dyDescent="0.25">
      <c r="B272" s="139">
        <v>151</v>
      </c>
      <c r="C272" s="140">
        <f>IF((17/3)-(5*Punkteschnitt_420_tab[[#This Row],[Punkte]]/$B$3)&lt;1,1,TRUNC((17/3)-(5*Punkteschnitt_420_tab[[#This Row],[Punkte]]/$B$3),1))</f>
        <v>3.8</v>
      </c>
    </row>
    <row r="273" spans="2:3" x14ac:dyDescent="0.25">
      <c r="B273" s="139">
        <v>150</v>
      </c>
      <c r="C273" s="140">
        <f>IF((17/3)-(5*Punkteschnitt_420_tab[[#This Row],[Punkte]]/$B$3)&lt;1,1,TRUNC((17/3)-(5*Punkteschnitt_420_tab[[#This Row],[Punkte]]/$B$3),1))</f>
        <v>3.8</v>
      </c>
    </row>
    <row r="274" spans="2:3" x14ac:dyDescent="0.25">
      <c r="B274" s="139">
        <v>149</v>
      </c>
      <c r="C274" s="140">
        <f>IF((17/3)-(5*Punkteschnitt_420_tab[[#This Row],[Punkte]]/$B$3)&lt;1,1,TRUNC((17/3)-(5*Punkteschnitt_420_tab[[#This Row],[Punkte]]/$B$3),1))</f>
        <v>3.8</v>
      </c>
    </row>
    <row r="275" spans="2:3" x14ac:dyDescent="0.25">
      <c r="B275" s="139">
        <v>148</v>
      </c>
      <c r="C275" s="140">
        <f>IF((17/3)-(5*Punkteschnitt_420_tab[[#This Row],[Punkte]]/$B$3)&lt;1,1,TRUNC((17/3)-(5*Punkteschnitt_420_tab[[#This Row],[Punkte]]/$B$3),1))</f>
        <v>3.9</v>
      </c>
    </row>
    <row r="276" spans="2:3" x14ac:dyDescent="0.25">
      <c r="B276" s="139">
        <v>147</v>
      </c>
      <c r="C276" s="140">
        <f>IF((17/3)-(5*Punkteschnitt_420_tab[[#This Row],[Punkte]]/$B$3)&lt;1,1,TRUNC((17/3)-(5*Punkteschnitt_420_tab[[#This Row],[Punkte]]/$B$3),1))</f>
        <v>3.9</v>
      </c>
    </row>
    <row r="277" spans="2:3" x14ac:dyDescent="0.25">
      <c r="B277" s="139">
        <v>146</v>
      </c>
      <c r="C277" s="140">
        <f>IF((17/3)-(5*Punkteschnitt_420_tab[[#This Row],[Punkte]]/$B$3)&lt;1,1,TRUNC((17/3)-(5*Punkteschnitt_420_tab[[#This Row],[Punkte]]/$B$3),1))</f>
        <v>3.9</v>
      </c>
    </row>
    <row r="278" spans="2:3" x14ac:dyDescent="0.25">
      <c r="B278" s="139">
        <v>145</v>
      </c>
      <c r="C278" s="140">
        <f>IF((17/3)-(5*Punkteschnitt_420_tab[[#This Row],[Punkte]]/$B$3)&lt;1,1,TRUNC((17/3)-(5*Punkteschnitt_420_tab[[#This Row],[Punkte]]/$B$3),1))</f>
        <v>3.9</v>
      </c>
    </row>
    <row r="279" spans="2:3" x14ac:dyDescent="0.25">
      <c r="B279" s="139">
        <v>144</v>
      </c>
      <c r="C279" s="140">
        <f>IF((17/3)-(5*Punkteschnitt_420_tab[[#This Row],[Punkte]]/$B$3)&lt;1,1,TRUNC((17/3)-(5*Punkteschnitt_420_tab[[#This Row],[Punkte]]/$B$3),1))</f>
        <v>3.9</v>
      </c>
    </row>
    <row r="280" spans="2:3" x14ac:dyDescent="0.25">
      <c r="B280" s="139">
        <v>143</v>
      </c>
      <c r="C280" s="140">
        <f>IF((17/3)-(5*Punkteschnitt_420_tab[[#This Row],[Punkte]]/$B$3)&lt;1,1,TRUNC((17/3)-(5*Punkteschnitt_420_tab[[#This Row],[Punkte]]/$B$3),1))</f>
        <v>3.9</v>
      </c>
    </row>
    <row r="281" spans="2:3" x14ac:dyDescent="0.25">
      <c r="B281" s="139">
        <v>142</v>
      </c>
      <c r="C281" s="140">
        <f>IF((17/3)-(5*Punkteschnitt_420_tab[[#This Row],[Punkte]]/$B$3)&lt;1,1,TRUNC((17/3)-(5*Punkteschnitt_420_tab[[#This Row],[Punkte]]/$B$3),1))</f>
        <v>3.9</v>
      </c>
    </row>
    <row r="282" spans="2:3" x14ac:dyDescent="0.25">
      <c r="B282" s="139">
        <v>141</v>
      </c>
      <c r="C282" s="140">
        <f>IF((17/3)-(5*Punkteschnitt_420_tab[[#This Row],[Punkte]]/$B$3)&lt;1,1,TRUNC((17/3)-(5*Punkteschnitt_420_tab[[#This Row],[Punkte]]/$B$3),1))</f>
        <v>3.9</v>
      </c>
    </row>
    <row r="283" spans="2:3" x14ac:dyDescent="0.25">
      <c r="B283" s="139">
        <v>140</v>
      </c>
      <c r="C283" s="140">
        <f>IF((17/3)-(5*Punkteschnitt_420_tab[[#This Row],[Punkte]]/$B$3)&lt;1,1,TRUNC((17/3)-(5*Punkteschnitt_420_tab[[#This Row],[Punkte]]/$B$3),1))</f>
        <v>4</v>
      </c>
    </row>
    <row r="284" spans="2:3" x14ac:dyDescent="0.25">
      <c r="B284" s="139">
        <v>139</v>
      </c>
      <c r="C284" s="140">
        <f>IF((17/3)-(5*Punkteschnitt_420_tab[[#This Row],[Punkte]]/$B$3)&lt;1,1,TRUNC((17/3)-(5*Punkteschnitt_420_tab[[#This Row],[Punkte]]/$B$3),1))</f>
        <v>4</v>
      </c>
    </row>
    <row r="285" spans="2:3" x14ac:dyDescent="0.25">
      <c r="B285" s="139">
        <v>138</v>
      </c>
      <c r="C285" s="140">
        <f>IF((17/3)-(5*Punkteschnitt_420_tab[[#This Row],[Punkte]]/$B$3)&lt;1,1,TRUNC((17/3)-(5*Punkteschnitt_420_tab[[#This Row],[Punkte]]/$B$3),1))</f>
        <v>4</v>
      </c>
    </row>
    <row r="286" spans="2:3" x14ac:dyDescent="0.25">
      <c r="B286" s="139">
        <v>137</v>
      </c>
      <c r="C286" s="140">
        <f>IF((17/3)-(5*Punkteschnitt_420_tab[[#This Row],[Punkte]]/$B$3)&lt;1,1,TRUNC((17/3)-(5*Punkteschnitt_420_tab[[#This Row],[Punkte]]/$B$3),1))</f>
        <v>4</v>
      </c>
    </row>
    <row r="287" spans="2:3" x14ac:dyDescent="0.25">
      <c r="B287" s="139">
        <v>136</v>
      </c>
      <c r="C287" s="140">
        <f>IF((17/3)-(5*Punkteschnitt_420_tab[[#This Row],[Punkte]]/$B$3)&lt;1,1,TRUNC((17/3)-(5*Punkteschnitt_420_tab[[#This Row],[Punkte]]/$B$3),1))</f>
        <v>4</v>
      </c>
    </row>
    <row r="288" spans="2:3" x14ac:dyDescent="0.25">
      <c r="B288" s="139">
        <v>135</v>
      </c>
      <c r="C288" s="140">
        <f>IF((17/3)-(5*Punkteschnitt_420_tab[[#This Row],[Punkte]]/$B$3)&lt;1,1,TRUNC((17/3)-(5*Punkteschnitt_420_tab[[#This Row],[Punkte]]/$B$3),1))</f>
        <v>4</v>
      </c>
    </row>
    <row r="289" spans="2:3" x14ac:dyDescent="0.25">
      <c r="B289" s="139">
        <v>134</v>
      </c>
      <c r="C289" s="140">
        <f>IF((17/3)-(5*Punkteschnitt_420_tab[[#This Row],[Punkte]]/$B$3)&lt;1,1,TRUNC((17/3)-(5*Punkteschnitt_420_tab[[#This Row],[Punkte]]/$B$3),1))</f>
        <v>4</v>
      </c>
    </row>
    <row r="290" spans="2:3" x14ac:dyDescent="0.25">
      <c r="B290" s="139">
        <v>133</v>
      </c>
      <c r="C290" s="140">
        <f>IF((17/3)-(5*Punkteschnitt_420_tab[[#This Row],[Punkte]]/$B$3)&lt;1,1,TRUNC((17/3)-(5*Punkteschnitt_420_tab[[#This Row],[Punkte]]/$B$3),1))</f>
        <v>4</v>
      </c>
    </row>
    <row r="291" spans="2:3" x14ac:dyDescent="0.25">
      <c r="B291" s="139">
        <v>132</v>
      </c>
      <c r="C291" s="140">
        <f>IF((17/3)-(5*Punkteschnitt_420_tab[[#This Row],[Punkte]]/$B$3)&lt;1,1,TRUNC((17/3)-(5*Punkteschnitt_420_tab[[#This Row],[Punkte]]/$B$3),1))</f>
        <v>4</v>
      </c>
    </row>
    <row r="292" spans="2:3" x14ac:dyDescent="0.25">
      <c r="B292" s="139">
        <v>131</v>
      </c>
      <c r="C292" s="140">
        <f>IF((17/3)-(5*Punkteschnitt_420_tab[[#This Row],[Punkte]]/$B$3)&lt;1,1,TRUNC((17/3)-(5*Punkteschnitt_420_tab[[#This Row],[Punkte]]/$B$3),1))</f>
        <v>4.0999999999999996</v>
      </c>
    </row>
    <row r="293" spans="2:3" x14ac:dyDescent="0.25">
      <c r="B293" s="139">
        <v>130</v>
      </c>
      <c r="C293" s="140">
        <f>IF((17/3)-(5*Punkteschnitt_420_tab[[#This Row],[Punkte]]/$B$3)&lt;1,1,TRUNC((17/3)-(5*Punkteschnitt_420_tab[[#This Row],[Punkte]]/$B$3),1))</f>
        <v>4.0999999999999996</v>
      </c>
    </row>
    <row r="294" spans="2:3" x14ac:dyDescent="0.25">
      <c r="B294" s="139">
        <v>129</v>
      </c>
      <c r="C294" s="140">
        <f>IF((17/3)-(5*Punkteschnitt_420_tab[[#This Row],[Punkte]]/$B$3)&lt;1,1,TRUNC((17/3)-(5*Punkteschnitt_420_tab[[#This Row],[Punkte]]/$B$3),1))</f>
        <v>4.0999999999999996</v>
      </c>
    </row>
    <row r="295" spans="2:3" x14ac:dyDescent="0.25">
      <c r="B295" s="139">
        <v>128</v>
      </c>
      <c r="C295" s="140">
        <f>IF((17/3)-(5*Punkteschnitt_420_tab[[#This Row],[Punkte]]/$B$3)&lt;1,1,TRUNC((17/3)-(5*Punkteschnitt_420_tab[[#This Row],[Punkte]]/$B$3),1))</f>
        <v>4.0999999999999996</v>
      </c>
    </row>
    <row r="296" spans="2:3" x14ac:dyDescent="0.25">
      <c r="B296" s="139">
        <v>127</v>
      </c>
      <c r="C296" s="140">
        <f>IF((17/3)-(5*Punkteschnitt_420_tab[[#This Row],[Punkte]]/$B$3)&lt;1,1,TRUNC((17/3)-(5*Punkteschnitt_420_tab[[#This Row],[Punkte]]/$B$3),1))</f>
        <v>4.0999999999999996</v>
      </c>
    </row>
    <row r="297" spans="2:3" x14ac:dyDescent="0.25">
      <c r="B297" s="139">
        <v>126</v>
      </c>
      <c r="C297" s="140">
        <f>IF((17/3)-(5*Punkteschnitt_420_tab[[#This Row],[Punkte]]/$B$3)&lt;1,1,TRUNC((17/3)-(5*Punkteschnitt_420_tab[[#This Row],[Punkte]]/$B$3),1))</f>
        <v>4.0999999999999996</v>
      </c>
    </row>
    <row r="298" spans="2:3" x14ac:dyDescent="0.25">
      <c r="B298" s="139">
        <v>125</v>
      </c>
      <c r="C298" s="140">
        <f>IF((17/3)-(5*Punkteschnitt_420_tab[[#This Row],[Punkte]]/$B$3)&lt;1,1,TRUNC((17/3)-(5*Punkteschnitt_420_tab[[#This Row],[Punkte]]/$B$3),1))</f>
        <v>4.0999999999999996</v>
      </c>
    </row>
    <row r="299" spans="2:3" x14ac:dyDescent="0.25">
      <c r="B299" s="139">
        <v>124</v>
      </c>
      <c r="C299" s="140">
        <f>IF((17/3)-(5*Punkteschnitt_420_tab[[#This Row],[Punkte]]/$B$3)&lt;1,1,TRUNC((17/3)-(5*Punkteschnitt_420_tab[[#This Row],[Punkte]]/$B$3),1))</f>
        <v>4.0999999999999996</v>
      </c>
    </row>
    <row r="300" spans="2:3" x14ac:dyDescent="0.25">
      <c r="B300" s="139">
        <v>123</v>
      </c>
      <c r="C300" s="140">
        <f>IF((17/3)-(5*Punkteschnitt_420_tab[[#This Row],[Punkte]]/$B$3)&lt;1,1,TRUNC((17/3)-(5*Punkteschnitt_420_tab[[#This Row],[Punkte]]/$B$3),1))</f>
        <v>4.2</v>
      </c>
    </row>
    <row r="301" spans="2:3" x14ac:dyDescent="0.25">
      <c r="B301" s="139">
        <v>122</v>
      </c>
      <c r="C301" s="140">
        <f>IF((17/3)-(5*Punkteschnitt_420_tab[[#This Row],[Punkte]]/$B$3)&lt;1,1,TRUNC((17/3)-(5*Punkteschnitt_420_tab[[#This Row],[Punkte]]/$B$3),1))</f>
        <v>4.2</v>
      </c>
    </row>
    <row r="302" spans="2:3" x14ac:dyDescent="0.25">
      <c r="B302" s="139">
        <v>121</v>
      </c>
      <c r="C302" s="140">
        <f>IF((17/3)-(5*Punkteschnitt_420_tab[[#This Row],[Punkte]]/$B$3)&lt;1,1,TRUNC((17/3)-(5*Punkteschnitt_420_tab[[#This Row],[Punkte]]/$B$3),1))</f>
        <v>4.2</v>
      </c>
    </row>
    <row r="303" spans="2:3" x14ac:dyDescent="0.25">
      <c r="B303" s="139">
        <v>120</v>
      </c>
      <c r="C303" s="140">
        <f>IF((17/3)-(5*Punkteschnitt_420_tab[[#This Row],[Punkte]]/$B$3)&lt;1,1,TRUNC((17/3)-(5*Punkteschnitt_420_tab[[#This Row],[Punkte]]/$B$3),1))</f>
        <v>4.2</v>
      </c>
    </row>
    <row r="304" spans="2:3" x14ac:dyDescent="0.25">
      <c r="B304" s="139">
        <v>119</v>
      </c>
      <c r="C304" s="140">
        <f>IF((17/3)-(5*Punkteschnitt_420_tab[[#This Row],[Punkte]]/$B$3)&lt;1,1,TRUNC((17/3)-(5*Punkteschnitt_420_tab[[#This Row],[Punkte]]/$B$3),1))</f>
        <v>4.2</v>
      </c>
    </row>
    <row r="305" spans="2:3" x14ac:dyDescent="0.25">
      <c r="B305" s="139">
        <v>118</v>
      </c>
      <c r="C305" s="140">
        <f>IF((17/3)-(5*Punkteschnitt_420_tab[[#This Row],[Punkte]]/$B$3)&lt;1,1,TRUNC((17/3)-(5*Punkteschnitt_420_tab[[#This Row],[Punkte]]/$B$3),1))</f>
        <v>4.2</v>
      </c>
    </row>
    <row r="306" spans="2:3" x14ac:dyDescent="0.25">
      <c r="B306" s="139">
        <v>117</v>
      </c>
      <c r="C306" s="140">
        <f>IF((17/3)-(5*Punkteschnitt_420_tab[[#This Row],[Punkte]]/$B$3)&lt;1,1,TRUNC((17/3)-(5*Punkteschnitt_420_tab[[#This Row],[Punkte]]/$B$3),1))</f>
        <v>4.2</v>
      </c>
    </row>
    <row r="307" spans="2:3" x14ac:dyDescent="0.25">
      <c r="B307" s="139">
        <v>116</v>
      </c>
      <c r="C307" s="140">
        <f>IF((17/3)-(5*Punkteschnitt_420_tab[[#This Row],[Punkte]]/$B$3)&lt;1,1,TRUNC((17/3)-(5*Punkteschnitt_420_tab[[#This Row],[Punkte]]/$B$3),1))</f>
        <v>4.2</v>
      </c>
    </row>
    <row r="308" spans="2:3" x14ac:dyDescent="0.25">
      <c r="B308" s="139">
        <v>115</v>
      </c>
      <c r="C308" s="140">
        <f>IF((17/3)-(5*Punkteschnitt_420_tab[[#This Row],[Punkte]]/$B$3)&lt;1,1,TRUNC((17/3)-(5*Punkteschnitt_420_tab[[#This Row],[Punkte]]/$B$3),1))</f>
        <v>4.2</v>
      </c>
    </row>
    <row r="309" spans="2:3" x14ac:dyDescent="0.25">
      <c r="B309" s="139">
        <v>114</v>
      </c>
      <c r="C309" s="140">
        <f>IF((17/3)-(5*Punkteschnitt_420_tab[[#This Row],[Punkte]]/$B$3)&lt;1,1,TRUNC((17/3)-(5*Punkteschnitt_420_tab[[#This Row],[Punkte]]/$B$3),1))</f>
        <v>4.3</v>
      </c>
    </row>
    <row r="310" spans="2:3" x14ac:dyDescent="0.25">
      <c r="B310" s="139">
        <v>113</v>
      </c>
      <c r="C310" s="140">
        <f>IF((17/3)-(5*Punkteschnitt_420_tab[[#This Row],[Punkte]]/$B$3)&lt;1,1,TRUNC((17/3)-(5*Punkteschnitt_420_tab[[#This Row],[Punkte]]/$B$3),1))</f>
        <v>4.3</v>
      </c>
    </row>
    <row r="311" spans="2:3" x14ac:dyDescent="0.25">
      <c r="B311" s="139">
        <v>112</v>
      </c>
      <c r="C311" s="140">
        <f>IF((17/3)-(5*Punkteschnitt_420_tab[[#This Row],[Punkte]]/$B$3)&lt;1,1,TRUNC((17/3)-(5*Punkteschnitt_420_tab[[#This Row],[Punkte]]/$B$3),1))</f>
        <v>4.3</v>
      </c>
    </row>
    <row r="312" spans="2:3" x14ac:dyDescent="0.25">
      <c r="B312" s="139">
        <v>111</v>
      </c>
      <c r="C312" s="140">
        <f>IF((17/3)-(5*Punkteschnitt_420_tab[[#This Row],[Punkte]]/$B$3)&lt;1,1,TRUNC((17/3)-(5*Punkteschnitt_420_tab[[#This Row],[Punkte]]/$B$3),1))</f>
        <v>4.3</v>
      </c>
    </row>
    <row r="313" spans="2:3" x14ac:dyDescent="0.25">
      <c r="B313" s="139">
        <v>110</v>
      </c>
      <c r="C313" s="140">
        <f>IF((17/3)-(5*Punkteschnitt_420_tab[[#This Row],[Punkte]]/$B$3)&lt;1,1,TRUNC((17/3)-(5*Punkteschnitt_420_tab[[#This Row],[Punkte]]/$B$3),1))</f>
        <v>4.3</v>
      </c>
    </row>
    <row r="314" spans="2:3" x14ac:dyDescent="0.25">
      <c r="B314" s="139">
        <v>109</v>
      </c>
      <c r="C314" s="140">
        <f>IF((17/3)-(5*Punkteschnitt_420_tab[[#This Row],[Punkte]]/$B$3)&lt;1,1,TRUNC((17/3)-(5*Punkteschnitt_420_tab[[#This Row],[Punkte]]/$B$3),1))</f>
        <v>4.3</v>
      </c>
    </row>
    <row r="315" spans="2:3" x14ac:dyDescent="0.25">
      <c r="B315" s="139">
        <v>108</v>
      </c>
      <c r="C315" s="140">
        <f>IF((17/3)-(5*Punkteschnitt_420_tab[[#This Row],[Punkte]]/$B$3)&lt;1,1,TRUNC((17/3)-(5*Punkteschnitt_420_tab[[#This Row],[Punkte]]/$B$3),1))</f>
        <v>4.3</v>
      </c>
    </row>
    <row r="316" spans="2:3" x14ac:dyDescent="0.25">
      <c r="B316" s="139">
        <v>107</v>
      </c>
      <c r="C316" s="140">
        <f>IF((17/3)-(5*Punkteschnitt_420_tab[[#This Row],[Punkte]]/$B$3)&lt;1,1,TRUNC((17/3)-(5*Punkteschnitt_420_tab[[#This Row],[Punkte]]/$B$3),1))</f>
        <v>4.3</v>
      </c>
    </row>
    <row r="317" spans="2:3" x14ac:dyDescent="0.25">
      <c r="B317" s="139">
        <v>106</v>
      </c>
      <c r="C317" s="140">
        <f>IF((17/3)-(5*Punkteschnitt_420_tab[[#This Row],[Punkte]]/$B$3)&lt;1,1,TRUNC((17/3)-(5*Punkteschnitt_420_tab[[#This Row],[Punkte]]/$B$3),1))</f>
        <v>4.4000000000000004</v>
      </c>
    </row>
    <row r="318" spans="2:3" x14ac:dyDescent="0.25">
      <c r="B318" s="139">
        <v>105</v>
      </c>
      <c r="C318" s="140">
        <f>IF((17/3)-(5*Punkteschnitt_420_tab[[#This Row],[Punkte]]/$B$3)&lt;1,1,TRUNC((17/3)-(5*Punkteschnitt_420_tab[[#This Row],[Punkte]]/$B$3),1))</f>
        <v>4.4000000000000004</v>
      </c>
    </row>
    <row r="319" spans="2:3" x14ac:dyDescent="0.25">
      <c r="B319" s="139">
        <v>104</v>
      </c>
      <c r="C319" s="140">
        <f>IF((17/3)-(5*Punkteschnitt_420_tab[[#This Row],[Punkte]]/$B$3)&lt;1,1,TRUNC((17/3)-(5*Punkteschnitt_420_tab[[#This Row],[Punkte]]/$B$3),1))</f>
        <v>4.4000000000000004</v>
      </c>
    </row>
    <row r="320" spans="2:3" x14ac:dyDescent="0.25">
      <c r="B320" s="139">
        <v>103</v>
      </c>
      <c r="C320" s="140">
        <f>IF((17/3)-(5*Punkteschnitt_420_tab[[#This Row],[Punkte]]/$B$3)&lt;1,1,TRUNC((17/3)-(5*Punkteschnitt_420_tab[[#This Row],[Punkte]]/$B$3),1))</f>
        <v>4.4000000000000004</v>
      </c>
    </row>
    <row r="321" spans="2:3" x14ac:dyDescent="0.25">
      <c r="B321" s="139">
        <v>102</v>
      </c>
      <c r="C321" s="140">
        <f>IF((17/3)-(5*Punkteschnitt_420_tab[[#This Row],[Punkte]]/$B$3)&lt;1,1,TRUNC((17/3)-(5*Punkteschnitt_420_tab[[#This Row],[Punkte]]/$B$3),1))</f>
        <v>4.4000000000000004</v>
      </c>
    </row>
    <row r="322" spans="2:3" x14ac:dyDescent="0.25">
      <c r="B322" s="139">
        <v>101</v>
      </c>
      <c r="C322" s="140">
        <f>IF((17/3)-(5*Punkteschnitt_420_tab[[#This Row],[Punkte]]/$B$3)&lt;1,1,TRUNC((17/3)-(5*Punkteschnitt_420_tab[[#This Row],[Punkte]]/$B$3),1))</f>
        <v>4.4000000000000004</v>
      </c>
    </row>
    <row r="323" spans="2:3" x14ac:dyDescent="0.25">
      <c r="B323" s="139">
        <v>100</v>
      </c>
      <c r="C323" s="140">
        <f>IF((17/3)-(5*Punkteschnitt_420_tab[[#This Row],[Punkte]]/$B$3)&lt;1,1,TRUNC((17/3)-(5*Punkteschnitt_420_tab[[#This Row],[Punkte]]/$B$3),1))</f>
        <v>4.4000000000000004</v>
      </c>
    </row>
    <row r="324" spans="2:3" x14ac:dyDescent="0.25">
      <c r="B324" s="139">
        <v>99</v>
      </c>
      <c r="C324" s="140">
        <f>IF((17/3)-(5*Punkteschnitt_420_tab[[#This Row],[Punkte]]/$B$3)&lt;1,1,TRUNC((17/3)-(5*Punkteschnitt_420_tab[[#This Row],[Punkte]]/$B$3),1))</f>
        <v>4.4000000000000004</v>
      </c>
    </row>
    <row r="325" spans="2:3" x14ac:dyDescent="0.25">
      <c r="B325" s="139">
        <v>98</v>
      </c>
      <c r="C325" s="140">
        <f>IF((17/3)-(5*Punkteschnitt_420_tab[[#This Row],[Punkte]]/$B$3)&lt;1,1,TRUNC((17/3)-(5*Punkteschnitt_420_tab[[#This Row],[Punkte]]/$B$3),1))</f>
        <v>4.5</v>
      </c>
    </row>
    <row r="326" spans="2:3" x14ac:dyDescent="0.25">
      <c r="B326" s="139">
        <v>97</v>
      </c>
      <c r="C326" s="140">
        <f>IF((17/3)-(5*Punkteschnitt_420_tab[[#This Row],[Punkte]]/$B$3)&lt;1,1,TRUNC((17/3)-(5*Punkteschnitt_420_tab[[#This Row],[Punkte]]/$B$3),1))</f>
        <v>4.5</v>
      </c>
    </row>
    <row r="327" spans="2:3" x14ac:dyDescent="0.25">
      <c r="B327" s="139">
        <v>96</v>
      </c>
      <c r="C327" s="140">
        <f>IF((17/3)-(5*Punkteschnitt_420_tab[[#This Row],[Punkte]]/$B$3)&lt;1,1,TRUNC((17/3)-(5*Punkteschnitt_420_tab[[#This Row],[Punkte]]/$B$3),1))</f>
        <v>4.5</v>
      </c>
    </row>
    <row r="328" spans="2:3" x14ac:dyDescent="0.25">
      <c r="B328" s="139">
        <v>95</v>
      </c>
      <c r="C328" s="140">
        <f>IF((17/3)-(5*Punkteschnitt_420_tab[[#This Row],[Punkte]]/$B$3)&lt;1,1,TRUNC((17/3)-(5*Punkteschnitt_420_tab[[#This Row],[Punkte]]/$B$3),1))</f>
        <v>4.5</v>
      </c>
    </row>
    <row r="329" spans="2:3" x14ac:dyDescent="0.25">
      <c r="B329" s="139">
        <v>94</v>
      </c>
      <c r="C329" s="140">
        <f>IF((17/3)-(5*Punkteschnitt_420_tab[[#This Row],[Punkte]]/$B$3)&lt;1,1,TRUNC((17/3)-(5*Punkteschnitt_420_tab[[#This Row],[Punkte]]/$B$3),1))</f>
        <v>4.5</v>
      </c>
    </row>
    <row r="330" spans="2:3" x14ac:dyDescent="0.25">
      <c r="B330" s="139">
        <v>93</v>
      </c>
      <c r="C330" s="140">
        <f>IF((17/3)-(5*Punkteschnitt_420_tab[[#This Row],[Punkte]]/$B$3)&lt;1,1,TRUNC((17/3)-(5*Punkteschnitt_420_tab[[#This Row],[Punkte]]/$B$3),1))</f>
        <v>4.5</v>
      </c>
    </row>
    <row r="331" spans="2:3" x14ac:dyDescent="0.25">
      <c r="B331" s="139">
        <v>92</v>
      </c>
      <c r="C331" s="140">
        <f>IF((17/3)-(5*Punkteschnitt_420_tab[[#This Row],[Punkte]]/$B$3)&lt;1,1,TRUNC((17/3)-(5*Punkteschnitt_420_tab[[#This Row],[Punkte]]/$B$3),1))</f>
        <v>4.5</v>
      </c>
    </row>
    <row r="332" spans="2:3" x14ac:dyDescent="0.25">
      <c r="B332" s="139">
        <v>91</v>
      </c>
      <c r="C332" s="140">
        <f>IF((17/3)-(5*Punkteschnitt_420_tab[[#This Row],[Punkte]]/$B$3)&lt;1,1,TRUNC((17/3)-(5*Punkteschnitt_420_tab[[#This Row],[Punkte]]/$B$3),1))</f>
        <v>4.5</v>
      </c>
    </row>
    <row r="333" spans="2:3" x14ac:dyDescent="0.25">
      <c r="B333" s="139">
        <v>90</v>
      </c>
      <c r="C333" s="140">
        <f>IF((17/3)-(5*Punkteschnitt_420_tab[[#This Row],[Punkte]]/$B$3)&lt;1,1,TRUNC((17/3)-(5*Punkteschnitt_420_tab[[#This Row],[Punkte]]/$B$3),1))</f>
        <v>4.5</v>
      </c>
    </row>
    <row r="334" spans="2:3" x14ac:dyDescent="0.25">
      <c r="B334" s="139">
        <v>89</v>
      </c>
      <c r="C334" s="140">
        <f>IF((17/3)-(5*Punkteschnitt_420_tab[[#This Row],[Punkte]]/$B$3)&lt;1,1,TRUNC((17/3)-(5*Punkteschnitt_420_tab[[#This Row],[Punkte]]/$B$3),1))</f>
        <v>4.5999999999999996</v>
      </c>
    </row>
    <row r="335" spans="2:3" x14ac:dyDescent="0.25">
      <c r="B335" s="139">
        <v>88</v>
      </c>
      <c r="C335" s="140">
        <f>IF((17/3)-(5*Punkteschnitt_420_tab[[#This Row],[Punkte]]/$B$3)&lt;1,1,TRUNC((17/3)-(5*Punkteschnitt_420_tab[[#This Row],[Punkte]]/$B$3),1))</f>
        <v>4.5999999999999996</v>
      </c>
    </row>
    <row r="336" spans="2:3" x14ac:dyDescent="0.25">
      <c r="B336" s="139">
        <v>87</v>
      </c>
      <c r="C336" s="140">
        <f>IF((17/3)-(5*Punkteschnitt_420_tab[[#This Row],[Punkte]]/$B$3)&lt;1,1,TRUNC((17/3)-(5*Punkteschnitt_420_tab[[#This Row],[Punkte]]/$B$3),1))</f>
        <v>4.5999999999999996</v>
      </c>
    </row>
    <row r="337" spans="2:3" x14ac:dyDescent="0.25">
      <c r="B337" s="139">
        <v>86</v>
      </c>
      <c r="C337" s="140">
        <f>IF((17/3)-(5*Punkteschnitt_420_tab[[#This Row],[Punkte]]/$B$3)&lt;1,1,TRUNC((17/3)-(5*Punkteschnitt_420_tab[[#This Row],[Punkte]]/$B$3),1))</f>
        <v>4.5999999999999996</v>
      </c>
    </row>
    <row r="338" spans="2:3" x14ac:dyDescent="0.25">
      <c r="B338" s="139">
        <v>85</v>
      </c>
      <c r="C338" s="140">
        <f>IF((17/3)-(5*Punkteschnitt_420_tab[[#This Row],[Punkte]]/$B$3)&lt;1,1,TRUNC((17/3)-(5*Punkteschnitt_420_tab[[#This Row],[Punkte]]/$B$3),1))</f>
        <v>4.5999999999999996</v>
      </c>
    </row>
    <row r="339" spans="2:3" x14ac:dyDescent="0.25">
      <c r="B339" s="139">
        <v>84</v>
      </c>
      <c r="C339" s="140">
        <f>IF((17/3)-(5*Punkteschnitt_420_tab[[#This Row],[Punkte]]/$B$3)&lt;1,1,TRUNC((17/3)-(5*Punkteschnitt_420_tab[[#This Row],[Punkte]]/$B$3),1))</f>
        <v>4.5999999999999996</v>
      </c>
    </row>
    <row r="340" spans="2:3" x14ac:dyDescent="0.25">
      <c r="B340" s="139">
        <v>83</v>
      </c>
      <c r="C340" s="140">
        <f>IF((17/3)-(5*Punkteschnitt_420_tab[[#This Row],[Punkte]]/$B$3)&lt;1,1,TRUNC((17/3)-(5*Punkteschnitt_420_tab[[#This Row],[Punkte]]/$B$3),1))</f>
        <v>4.5999999999999996</v>
      </c>
    </row>
    <row r="341" spans="2:3" x14ac:dyDescent="0.25">
      <c r="B341" s="139">
        <v>82</v>
      </c>
      <c r="C341" s="140">
        <f>IF((17/3)-(5*Punkteschnitt_420_tab[[#This Row],[Punkte]]/$B$3)&lt;1,1,TRUNC((17/3)-(5*Punkteschnitt_420_tab[[#This Row],[Punkte]]/$B$3),1))</f>
        <v>4.5999999999999996</v>
      </c>
    </row>
    <row r="342" spans="2:3" x14ac:dyDescent="0.25">
      <c r="B342" s="139">
        <v>81</v>
      </c>
      <c r="C342" s="140">
        <f>IF((17/3)-(5*Punkteschnitt_420_tab[[#This Row],[Punkte]]/$B$3)&lt;1,1,TRUNC((17/3)-(5*Punkteschnitt_420_tab[[#This Row],[Punkte]]/$B$3),1))</f>
        <v>4.7</v>
      </c>
    </row>
    <row r="343" spans="2:3" x14ac:dyDescent="0.25">
      <c r="B343" s="139">
        <v>80</v>
      </c>
      <c r="C343" s="140">
        <f>IF((17/3)-(5*Punkteschnitt_420_tab[[#This Row],[Punkte]]/$B$3)&lt;1,1,TRUNC((17/3)-(5*Punkteschnitt_420_tab[[#This Row],[Punkte]]/$B$3),1))</f>
        <v>4.7</v>
      </c>
    </row>
    <row r="344" spans="2:3" x14ac:dyDescent="0.25">
      <c r="B344" s="139">
        <v>79</v>
      </c>
      <c r="C344" s="140">
        <f>IF((17/3)-(5*Punkteschnitt_420_tab[[#This Row],[Punkte]]/$B$3)&lt;1,1,TRUNC((17/3)-(5*Punkteschnitt_420_tab[[#This Row],[Punkte]]/$B$3),1))</f>
        <v>4.7</v>
      </c>
    </row>
    <row r="345" spans="2:3" x14ac:dyDescent="0.25">
      <c r="B345" s="139">
        <v>78</v>
      </c>
      <c r="C345" s="140">
        <f>IF((17/3)-(5*Punkteschnitt_420_tab[[#This Row],[Punkte]]/$B$3)&lt;1,1,TRUNC((17/3)-(5*Punkteschnitt_420_tab[[#This Row],[Punkte]]/$B$3),1))</f>
        <v>4.7</v>
      </c>
    </row>
    <row r="346" spans="2:3" x14ac:dyDescent="0.25">
      <c r="B346" s="139">
        <v>77</v>
      </c>
      <c r="C346" s="140">
        <f>IF((17/3)-(5*Punkteschnitt_420_tab[[#This Row],[Punkte]]/$B$3)&lt;1,1,TRUNC((17/3)-(5*Punkteschnitt_420_tab[[#This Row],[Punkte]]/$B$3),1))</f>
        <v>4.7</v>
      </c>
    </row>
    <row r="347" spans="2:3" x14ac:dyDescent="0.25">
      <c r="B347" s="139">
        <v>76</v>
      </c>
      <c r="C347" s="140">
        <f>IF((17/3)-(5*Punkteschnitt_420_tab[[#This Row],[Punkte]]/$B$3)&lt;1,1,TRUNC((17/3)-(5*Punkteschnitt_420_tab[[#This Row],[Punkte]]/$B$3),1))</f>
        <v>4.7</v>
      </c>
    </row>
    <row r="348" spans="2:3" x14ac:dyDescent="0.25">
      <c r="B348" s="139">
        <v>75</v>
      </c>
      <c r="C348" s="140">
        <f>IF((17/3)-(5*Punkteschnitt_420_tab[[#This Row],[Punkte]]/$B$3)&lt;1,1,TRUNC((17/3)-(5*Punkteschnitt_420_tab[[#This Row],[Punkte]]/$B$3),1))</f>
        <v>4.7</v>
      </c>
    </row>
    <row r="349" spans="2:3" x14ac:dyDescent="0.25">
      <c r="B349" s="139">
        <v>74</v>
      </c>
      <c r="C349" s="140">
        <f>IF((17/3)-(5*Punkteschnitt_420_tab[[#This Row],[Punkte]]/$B$3)&lt;1,1,TRUNC((17/3)-(5*Punkteschnitt_420_tab[[#This Row],[Punkte]]/$B$3),1))</f>
        <v>4.7</v>
      </c>
    </row>
    <row r="350" spans="2:3" x14ac:dyDescent="0.25">
      <c r="B350" s="139">
        <v>73</v>
      </c>
      <c r="C350" s="140">
        <f>IF((17/3)-(5*Punkteschnitt_420_tab[[#This Row],[Punkte]]/$B$3)&lt;1,1,TRUNC((17/3)-(5*Punkteschnitt_420_tab[[#This Row],[Punkte]]/$B$3),1))</f>
        <v>4.7</v>
      </c>
    </row>
    <row r="351" spans="2:3" x14ac:dyDescent="0.25">
      <c r="B351" s="139">
        <v>72</v>
      </c>
      <c r="C351" s="140">
        <f>IF((17/3)-(5*Punkteschnitt_420_tab[[#This Row],[Punkte]]/$B$3)&lt;1,1,TRUNC((17/3)-(5*Punkteschnitt_420_tab[[#This Row],[Punkte]]/$B$3),1))</f>
        <v>4.8</v>
      </c>
    </row>
    <row r="352" spans="2:3" x14ac:dyDescent="0.25">
      <c r="B352" s="139">
        <v>71</v>
      </c>
      <c r="C352" s="140">
        <f>IF((17/3)-(5*Punkteschnitt_420_tab[[#This Row],[Punkte]]/$B$3)&lt;1,1,TRUNC((17/3)-(5*Punkteschnitt_420_tab[[#This Row],[Punkte]]/$B$3),1))</f>
        <v>4.8</v>
      </c>
    </row>
    <row r="353" spans="2:3" x14ac:dyDescent="0.25">
      <c r="B353" s="139">
        <v>70</v>
      </c>
      <c r="C353" s="140">
        <f>IF((17/3)-(5*Punkteschnitt_420_tab[[#This Row],[Punkte]]/$B$3)&lt;1,1,TRUNC((17/3)-(5*Punkteschnitt_420_tab[[#This Row],[Punkte]]/$B$3),1))</f>
        <v>4.8</v>
      </c>
    </row>
    <row r="354" spans="2:3" x14ac:dyDescent="0.25">
      <c r="B354" s="139">
        <v>69</v>
      </c>
      <c r="C354" s="140">
        <f>IF((17/3)-(5*Punkteschnitt_420_tab[[#This Row],[Punkte]]/$B$3)&lt;1,1,TRUNC((17/3)-(5*Punkteschnitt_420_tab[[#This Row],[Punkte]]/$B$3),1))</f>
        <v>4.8</v>
      </c>
    </row>
    <row r="355" spans="2:3" x14ac:dyDescent="0.25">
      <c r="B355" s="139">
        <v>68</v>
      </c>
      <c r="C355" s="140">
        <f>IF((17/3)-(5*Punkteschnitt_420_tab[[#This Row],[Punkte]]/$B$3)&lt;1,1,TRUNC((17/3)-(5*Punkteschnitt_420_tab[[#This Row],[Punkte]]/$B$3),1))</f>
        <v>4.8</v>
      </c>
    </row>
    <row r="356" spans="2:3" x14ac:dyDescent="0.25">
      <c r="B356" s="139">
        <v>67</v>
      </c>
      <c r="C356" s="140">
        <f>IF((17/3)-(5*Punkteschnitt_420_tab[[#This Row],[Punkte]]/$B$3)&lt;1,1,TRUNC((17/3)-(5*Punkteschnitt_420_tab[[#This Row],[Punkte]]/$B$3),1))</f>
        <v>4.8</v>
      </c>
    </row>
    <row r="357" spans="2:3" x14ac:dyDescent="0.25">
      <c r="B357" s="139">
        <v>66</v>
      </c>
      <c r="C357" s="140">
        <f>IF((17/3)-(5*Punkteschnitt_420_tab[[#This Row],[Punkte]]/$B$3)&lt;1,1,TRUNC((17/3)-(5*Punkteschnitt_420_tab[[#This Row],[Punkte]]/$B$3),1))</f>
        <v>4.8</v>
      </c>
    </row>
    <row r="358" spans="2:3" x14ac:dyDescent="0.25">
      <c r="B358" s="139">
        <v>65</v>
      </c>
      <c r="C358" s="140">
        <f>IF((17/3)-(5*Punkteschnitt_420_tab[[#This Row],[Punkte]]/$B$3)&lt;1,1,TRUNC((17/3)-(5*Punkteschnitt_420_tab[[#This Row],[Punkte]]/$B$3),1))</f>
        <v>4.8</v>
      </c>
    </row>
    <row r="359" spans="2:3" x14ac:dyDescent="0.25">
      <c r="B359" s="139">
        <v>64</v>
      </c>
      <c r="C359" s="140">
        <f>IF((17/3)-(5*Punkteschnitt_420_tab[[#This Row],[Punkte]]/$B$3)&lt;1,1,TRUNC((17/3)-(5*Punkteschnitt_420_tab[[#This Row],[Punkte]]/$B$3),1))</f>
        <v>4.9000000000000004</v>
      </c>
    </row>
    <row r="360" spans="2:3" x14ac:dyDescent="0.25">
      <c r="B360" s="139">
        <v>63</v>
      </c>
      <c r="C360" s="140">
        <f>IF((17/3)-(5*Punkteschnitt_420_tab[[#This Row],[Punkte]]/$B$3)&lt;1,1,TRUNC((17/3)-(5*Punkteschnitt_420_tab[[#This Row],[Punkte]]/$B$3),1))</f>
        <v>4.9000000000000004</v>
      </c>
    </row>
    <row r="361" spans="2:3" x14ac:dyDescent="0.25">
      <c r="B361" s="139">
        <v>62</v>
      </c>
      <c r="C361" s="140">
        <f>IF((17/3)-(5*Punkteschnitt_420_tab[[#This Row],[Punkte]]/$B$3)&lt;1,1,TRUNC((17/3)-(5*Punkteschnitt_420_tab[[#This Row],[Punkte]]/$B$3),1))</f>
        <v>4.9000000000000004</v>
      </c>
    </row>
    <row r="362" spans="2:3" x14ac:dyDescent="0.25">
      <c r="B362" s="139">
        <v>61</v>
      </c>
      <c r="C362" s="140">
        <f>IF((17/3)-(5*Punkteschnitt_420_tab[[#This Row],[Punkte]]/$B$3)&lt;1,1,TRUNC((17/3)-(5*Punkteschnitt_420_tab[[#This Row],[Punkte]]/$B$3),1))</f>
        <v>4.9000000000000004</v>
      </c>
    </row>
    <row r="363" spans="2:3" x14ac:dyDescent="0.25">
      <c r="B363" s="139">
        <v>60</v>
      </c>
      <c r="C363" s="140">
        <f>IF((17/3)-(5*Punkteschnitt_420_tab[[#This Row],[Punkte]]/$B$3)&lt;1,1,TRUNC((17/3)-(5*Punkteschnitt_420_tab[[#This Row],[Punkte]]/$B$3),1))</f>
        <v>4.9000000000000004</v>
      </c>
    </row>
    <row r="364" spans="2:3" x14ac:dyDescent="0.25">
      <c r="B364" s="139">
        <v>59</v>
      </c>
      <c r="C364" s="140">
        <f>IF((17/3)-(5*Punkteschnitt_420_tab[[#This Row],[Punkte]]/$B$3)&lt;1,1,TRUNC((17/3)-(5*Punkteschnitt_420_tab[[#This Row],[Punkte]]/$B$3),1))</f>
        <v>4.9000000000000004</v>
      </c>
    </row>
    <row r="365" spans="2:3" x14ac:dyDescent="0.25">
      <c r="B365" s="139">
        <v>58</v>
      </c>
      <c r="C365" s="140">
        <f>IF((17/3)-(5*Punkteschnitt_420_tab[[#This Row],[Punkte]]/$B$3)&lt;1,1,TRUNC((17/3)-(5*Punkteschnitt_420_tab[[#This Row],[Punkte]]/$B$3),1))</f>
        <v>4.9000000000000004</v>
      </c>
    </row>
    <row r="366" spans="2:3" x14ac:dyDescent="0.25">
      <c r="B366" s="139">
        <v>57</v>
      </c>
      <c r="C366" s="140">
        <f>IF((17/3)-(5*Punkteschnitt_420_tab[[#This Row],[Punkte]]/$B$3)&lt;1,1,TRUNC((17/3)-(5*Punkteschnitt_420_tab[[#This Row],[Punkte]]/$B$3),1))</f>
        <v>4.9000000000000004</v>
      </c>
    </row>
    <row r="367" spans="2:3" x14ac:dyDescent="0.25">
      <c r="B367" s="139">
        <v>56</v>
      </c>
      <c r="C367" s="140">
        <f>IF((17/3)-(5*Punkteschnitt_420_tab[[#This Row],[Punkte]]/$B$3)&lt;1,1,TRUNC((17/3)-(5*Punkteschnitt_420_tab[[#This Row],[Punkte]]/$B$3),1))</f>
        <v>5</v>
      </c>
    </row>
    <row r="368" spans="2:3" x14ac:dyDescent="0.25">
      <c r="B368" s="139">
        <v>55</v>
      </c>
      <c r="C368" s="140">
        <f>IF((17/3)-(5*Punkteschnitt_420_tab[[#This Row],[Punkte]]/$B$3)&lt;1,1,TRUNC((17/3)-(5*Punkteschnitt_420_tab[[#This Row],[Punkte]]/$B$3),1))</f>
        <v>5</v>
      </c>
    </row>
    <row r="369" spans="2:3" x14ac:dyDescent="0.25">
      <c r="B369" s="139">
        <v>54</v>
      </c>
      <c r="C369" s="140">
        <f>IF((17/3)-(5*Punkteschnitt_420_tab[[#This Row],[Punkte]]/$B$3)&lt;1,1,TRUNC((17/3)-(5*Punkteschnitt_420_tab[[#This Row],[Punkte]]/$B$3),1))</f>
        <v>5</v>
      </c>
    </row>
    <row r="370" spans="2:3" x14ac:dyDescent="0.25">
      <c r="B370" s="139">
        <v>53</v>
      </c>
      <c r="C370" s="140">
        <f>IF((17/3)-(5*Punkteschnitt_420_tab[[#This Row],[Punkte]]/$B$3)&lt;1,1,TRUNC((17/3)-(5*Punkteschnitt_420_tab[[#This Row],[Punkte]]/$B$3),1))</f>
        <v>5</v>
      </c>
    </row>
    <row r="371" spans="2:3" x14ac:dyDescent="0.25">
      <c r="B371" s="139">
        <v>52</v>
      </c>
      <c r="C371" s="140">
        <f>IF((17/3)-(5*Punkteschnitt_420_tab[[#This Row],[Punkte]]/$B$3)&lt;1,1,TRUNC((17/3)-(5*Punkteschnitt_420_tab[[#This Row],[Punkte]]/$B$3),1))</f>
        <v>5</v>
      </c>
    </row>
    <row r="372" spans="2:3" x14ac:dyDescent="0.25">
      <c r="B372" s="139">
        <v>51</v>
      </c>
      <c r="C372" s="140">
        <f>IF((17/3)-(5*Punkteschnitt_420_tab[[#This Row],[Punkte]]/$B$3)&lt;1,1,TRUNC((17/3)-(5*Punkteschnitt_420_tab[[#This Row],[Punkte]]/$B$3),1))</f>
        <v>5</v>
      </c>
    </row>
    <row r="373" spans="2:3" x14ac:dyDescent="0.25">
      <c r="B373" s="139">
        <v>50</v>
      </c>
      <c r="C373" s="140">
        <f>IF((17/3)-(5*Punkteschnitt_420_tab[[#This Row],[Punkte]]/$B$3)&lt;1,1,TRUNC((17/3)-(5*Punkteschnitt_420_tab[[#This Row],[Punkte]]/$B$3),1))</f>
        <v>5</v>
      </c>
    </row>
    <row r="374" spans="2:3" x14ac:dyDescent="0.25">
      <c r="B374" s="139">
        <v>49</v>
      </c>
      <c r="C374" s="140">
        <f>IF((17/3)-(5*Punkteschnitt_420_tab[[#This Row],[Punkte]]/$B$3)&lt;1,1,TRUNC((17/3)-(5*Punkteschnitt_420_tab[[#This Row],[Punkte]]/$B$3),1))</f>
        <v>5</v>
      </c>
    </row>
    <row r="375" spans="2:3" x14ac:dyDescent="0.25">
      <c r="B375" s="139">
        <v>48</v>
      </c>
      <c r="C375" s="140">
        <f>IF((17/3)-(5*Punkteschnitt_420_tab[[#This Row],[Punkte]]/$B$3)&lt;1,1,TRUNC((17/3)-(5*Punkteschnitt_420_tab[[#This Row],[Punkte]]/$B$3),1))</f>
        <v>5</v>
      </c>
    </row>
    <row r="376" spans="2:3" x14ac:dyDescent="0.25">
      <c r="B376" s="139">
        <v>47</v>
      </c>
      <c r="C376" s="140">
        <f>IF((17/3)-(5*Punkteschnitt_420_tab[[#This Row],[Punkte]]/$B$3)&lt;1,1,TRUNC((17/3)-(5*Punkteschnitt_420_tab[[#This Row],[Punkte]]/$B$3),1))</f>
        <v>5.0999999999999996</v>
      </c>
    </row>
    <row r="377" spans="2:3" x14ac:dyDescent="0.25">
      <c r="B377" s="139">
        <v>46</v>
      </c>
      <c r="C377" s="140">
        <f>IF((17/3)-(5*Punkteschnitt_420_tab[[#This Row],[Punkte]]/$B$3)&lt;1,1,TRUNC((17/3)-(5*Punkteschnitt_420_tab[[#This Row],[Punkte]]/$B$3),1))</f>
        <v>5.0999999999999996</v>
      </c>
    </row>
    <row r="378" spans="2:3" x14ac:dyDescent="0.25">
      <c r="B378" s="139">
        <v>45</v>
      </c>
      <c r="C378" s="140">
        <f>IF((17/3)-(5*Punkteschnitt_420_tab[[#This Row],[Punkte]]/$B$3)&lt;1,1,TRUNC((17/3)-(5*Punkteschnitt_420_tab[[#This Row],[Punkte]]/$B$3),1))</f>
        <v>5.0999999999999996</v>
      </c>
    </row>
    <row r="379" spans="2:3" x14ac:dyDescent="0.25">
      <c r="B379" s="139">
        <v>44</v>
      </c>
      <c r="C379" s="140">
        <f>IF((17/3)-(5*Punkteschnitt_420_tab[[#This Row],[Punkte]]/$B$3)&lt;1,1,TRUNC((17/3)-(5*Punkteschnitt_420_tab[[#This Row],[Punkte]]/$B$3),1))</f>
        <v>5.0999999999999996</v>
      </c>
    </row>
    <row r="380" spans="2:3" x14ac:dyDescent="0.25">
      <c r="B380" s="139">
        <v>43</v>
      </c>
      <c r="C380" s="140">
        <f>IF((17/3)-(5*Punkteschnitt_420_tab[[#This Row],[Punkte]]/$B$3)&lt;1,1,TRUNC((17/3)-(5*Punkteschnitt_420_tab[[#This Row],[Punkte]]/$B$3),1))</f>
        <v>5.0999999999999996</v>
      </c>
    </row>
    <row r="381" spans="2:3" x14ac:dyDescent="0.25">
      <c r="B381" s="139">
        <v>42</v>
      </c>
      <c r="C381" s="140">
        <f>IF((17/3)-(5*Punkteschnitt_420_tab[[#This Row],[Punkte]]/$B$3)&lt;1,1,TRUNC((17/3)-(5*Punkteschnitt_420_tab[[#This Row],[Punkte]]/$B$3),1))</f>
        <v>5.0999999999999996</v>
      </c>
    </row>
    <row r="382" spans="2:3" x14ac:dyDescent="0.25">
      <c r="B382" s="139">
        <v>41</v>
      </c>
      <c r="C382" s="140">
        <f>IF((17/3)-(5*Punkteschnitt_420_tab[[#This Row],[Punkte]]/$B$3)&lt;1,1,TRUNC((17/3)-(5*Punkteschnitt_420_tab[[#This Row],[Punkte]]/$B$3),1))</f>
        <v>5.0999999999999996</v>
      </c>
    </row>
    <row r="383" spans="2:3" x14ac:dyDescent="0.25">
      <c r="B383" s="139">
        <v>40</v>
      </c>
      <c r="C383" s="140">
        <f>IF((17/3)-(5*Punkteschnitt_420_tab[[#This Row],[Punkte]]/$B$3)&lt;1,1,TRUNC((17/3)-(5*Punkteschnitt_420_tab[[#This Row],[Punkte]]/$B$3),1))</f>
        <v>5.0999999999999996</v>
      </c>
    </row>
    <row r="384" spans="2:3" x14ac:dyDescent="0.25">
      <c r="B384" s="139">
        <v>39</v>
      </c>
      <c r="C384" s="140">
        <f>IF((17/3)-(5*Punkteschnitt_420_tab[[#This Row],[Punkte]]/$B$3)&lt;1,1,TRUNC((17/3)-(5*Punkteschnitt_420_tab[[#This Row],[Punkte]]/$B$3),1))</f>
        <v>5.2</v>
      </c>
    </row>
    <row r="385" spans="2:3" x14ac:dyDescent="0.25">
      <c r="B385" s="139">
        <v>38</v>
      </c>
      <c r="C385" s="140">
        <f>IF((17/3)-(5*Punkteschnitt_420_tab[[#This Row],[Punkte]]/$B$3)&lt;1,1,TRUNC((17/3)-(5*Punkteschnitt_420_tab[[#This Row],[Punkte]]/$B$3),1))</f>
        <v>5.2</v>
      </c>
    </row>
    <row r="386" spans="2:3" x14ac:dyDescent="0.25">
      <c r="B386" s="139">
        <v>37</v>
      </c>
      <c r="C386" s="140">
        <f>IF((17/3)-(5*Punkteschnitt_420_tab[[#This Row],[Punkte]]/$B$3)&lt;1,1,TRUNC((17/3)-(5*Punkteschnitt_420_tab[[#This Row],[Punkte]]/$B$3),1))</f>
        <v>5.2</v>
      </c>
    </row>
    <row r="387" spans="2:3" x14ac:dyDescent="0.25">
      <c r="B387" s="139">
        <v>36</v>
      </c>
      <c r="C387" s="140">
        <f>IF((17/3)-(5*Punkteschnitt_420_tab[[#This Row],[Punkte]]/$B$3)&lt;1,1,TRUNC((17/3)-(5*Punkteschnitt_420_tab[[#This Row],[Punkte]]/$B$3),1))</f>
        <v>5.2</v>
      </c>
    </row>
    <row r="388" spans="2:3" x14ac:dyDescent="0.25">
      <c r="B388" s="139">
        <v>35</v>
      </c>
      <c r="C388" s="140">
        <f>IF((17/3)-(5*Punkteschnitt_420_tab[[#This Row],[Punkte]]/$B$3)&lt;1,1,TRUNC((17/3)-(5*Punkteschnitt_420_tab[[#This Row],[Punkte]]/$B$3),1))</f>
        <v>5.2</v>
      </c>
    </row>
    <row r="389" spans="2:3" x14ac:dyDescent="0.25">
      <c r="B389" s="139">
        <v>34</v>
      </c>
      <c r="C389" s="140">
        <f>IF((17/3)-(5*Punkteschnitt_420_tab[[#This Row],[Punkte]]/$B$3)&lt;1,1,TRUNC((17/3)-(5*Punkteschnitt_420_tab[[#This Row],[Punkte]]/$B$3),1))</f>
        <v>5.2</v>
      </c>
    </row>
    <row r="390" spans="2:3" x14ac:dyDescent="0.25">
      <c r="B390" s="139">
        <v>33</v>
      </c>
      <c r="C390" s="140">
        <f>IF((17/3)-(5*Punkteschnitt_420_tab[[#This Row],[Punkte]]/$B$3)&lt;1,1,TRUNC((17/3)-(5*Punkteschnitt_420_tab[[#This Row],[Punkte]]/$B$3),1))</f>
        <v>5.2</v>
      </c>
    </row>
    <row r="391" spans="2:3" x14ac:dyDescent="0.25">
      <c r="B391" s="139">
        <v>32</v>
      </c>
      <c r="C391" s="140">
        <f>IF((17/3)-(5*Punkteschnitt_420_tab[[#This Row],[Punkte]]/$B$3)&lt;1,1,TRUNC((17/3)-(5*Punkteschnitt_420_tab[[#This Row],[Punkte]]/$B$3),1))</f>
        <v>5.2</v>
      </c>
    </row>
    <row r="392" spans="2:3" x14ac:dyDescent="0.25">
      <c r="B392" s="139">
        <v>31</v>
      </c>
      <c r="C392" s="140">
        <f>IF((17/3)-(5*Punkteschnitt_420_tab[[#This Row],[Punkte]]/$B$3)&lt;1,1,TRUNC((17/3)-(5*Punkteschnitt_420_tab[[#This Row],[Punkte]]/$B$3),1))</f>
        <v>5.2</v>
      </c>
    </row>
    <row r="393" spans="2:3" x14ac:dyDescent="0.25">
      <c r="B393" s="139">
        <v>30</v>
      </c>
      <c r="C393" s="140">
        <f>IF((17/3)-(5*Punkteschnitt_420_tab[[#This Row],[Punkte]]/$B$3)&lt;1,1,TRUNC((17/3)-(5*Punkteschnitt_420_tab[[#This Row],[Punkte]]/$B$3),1))</f>
        <v>5.3</v>
      </c>
    </row>
    <row r="394" spans="2:3" x14ac:dyDescent="0.25">
      <c r="B394" s="139">
        <v>29</v>
      </c>
      <c r="C394" s="140">
        <f>IF((17/3)-(5*Punkteschnitt_420_tab[[#This Row],[Punkte]]/$B$3)&lt;1,1,TRUNC((17/3)-(5*Punkteschnitt_420_tab[[#This Row],[Punkte]]/$B$3),1))</f>
        <v>5.3</v>
      </c>
    </row>
    <row r="395" spans="2:3" x14ac:dyDescent="0.25">
      <c r="B395" s="139">
        <v>28</v>
      </c>
      <c r="C395" s="140">
        <f>IF((17/3)-(5*Punkteschnitt_420_tab[[#This Row],[Punkte]]/$B$3)&lt;1,1,TRUNC((17/3)-(5*Punkteschnitt_420_tab[[#This Row],[Punkte]]/$B$3),1))</f>
        <v>5.3</v>
      </c>
    </row>
    <row r="396" spans="2:3" x14ac:dyDescent="0.25">
      <c r="B396" s="139">
        <v>27</v>
      </c>
      <c r="C396" s="140">
        <f>IF((17/3)-(5*Punkteschnitt_420_tab[[#This Row],[Punkte]]/$B$3)&lt;1,1,TRUNC((17/3)-(5*Punkteschnitt_420_tab[[#This Row],[Punkte]]/$B$3),1))</f>
        <v>5.3</v>
      </c>
    </row>
    <row r="397" spans="2:3" x14ac:dyDescent="0.25">
      <c r="B397" s="139">
        <v>26</v>
      </c>
      <c r="C397" s="140">
        <f>IF((17/3)-(5*Punkteschnitt_420_tab[[#This Row],[Punkte]]/$B$3)&lt;1,1,TRUNC((17/3)-(5*Punkteschnitt_420_tab[[#This Row],[Punkte]]/$B$3),1))</f>
        <v>5.3</v>
      </c>
    </row>
    <row r="398" spans="2:3" x14ac:dyDescent="0.25">
      <c r="B398" s="139">
        <v>25</v>
      </c>
      <c r="C398" s="140">
        <f>IF((17/3)-(5*Punkteschnitt_420_tab[[#This Row],[Punkte]]/$B$3)&lt;1,1,TRUNC((17/3)-(5*Punkteschnitt_420_tab[[#This Row],[Punkte]]/$B$3),1))</f>
        <v>5.3</v>
      </c>
    </row>
    <row r="399" spans="2:3" x14ac:dyDescent="0.25">
      <c r="B399" s="139">
        <v>24</v>
      </c>
      <c r="C399" s="140">
        <f>IF((17/3)-(5*Punkteschnitt_420_tab[[#This Row],[Punkte]]/$B$3)&lt;1,1,TRUNC((17/3)-(5*Punkteschnitt_420_tab[[#This Row],[Punkte]]/$B$3),1))</f>
        <v>5.3</v>
      </c>
    </row>
    <row r="400" spans="2:3" x14ac:dyDescent="0.25">
      <c r="B400" s="139">
        <v>23</v>
      </c>
      <c r="C400" s="140">
        <f>IF((17/3)-(5*Punkteschnitt_420_tab[[#This Row],[Punkte]]/$B$3)&lt;1,1,TRUNC((17/3)-(5*Punkteschnitt_420_tab[[#This Row],[Punkte]]/$B$3),1))</f>
        <v>5.3</v>
      </c>
    </row>
    <row r="401" spans="2:3" x14ac:dyDescent="0.25">
      <c r="B401" s="139">
        <v>22</v>
      </c>
      <c r="C401" s="140">
        <f>IF((17/3)-(5*Punkteschnitt_420_tab[[#This Row],[Punkte]]/$B$3)&lt;1,1,TRUNC((17/3)-(5*Punkteschnitt_420_tab[[#This Row],[Punkte]]/$B$3),1))</f>
        <v>5.4</v>
      </c>
    </row>
    <row r="402" spans="2:3" x14ac:dyDescent="0.25">
      <c r="B402" s="139">
        <v>21</v>
      </c>
      <c r="C402" s="140">
        <f>IF((17/3)-(5*Punkteschnitt_420_tab[[#This Row],[Punkte]]/$B$3)&lt;1,1,TRUNC((17/3)-(5*Punkteschnitt_420_tab[[#This Row],[Punkte]]/$B$3),1))</f>
        <v>5.4</v>
      </c>
    </row>
    <row r="403" spans="2:3" x14ac:dyDescent="0.25">
      <c r="B403" s="139">
        <v>20</v>
      </c>
      <c r="C403" s="140">
        <f>IF((17/3)-(5*Punkteschnitt_420_tab[[#This Row],[Punkte]]/$B$3)&lt;1,1,TRUNC((17/3)-(5*Punkteschnitt_420_tab[[#This Row],[Punkte]]/$B$3),1))</f>
        <v>5.4</v>
      </c>
    </row>
    <row r="404" spans="2:3" x14ac:dyDescent="0.25">
      <c r="B404" s="139">
        <v>19</v>
      </c>
      <c r="C404" s="140">
        <f>IF((17/3)-(5*Punkteschnitt_420_tab[[#This Row],[Punkte]]/$B$3)&lt;1,1,TRUNC((17/3)-(5*Punkteschnitt_420_tab[[#This Row],[Punkte]]/$B$3),1))</f>
        <v>5.4</v>
      </c>
    </row>
    <row r="405" spans="2:3" x14ac:dyDescent="0.25">
      <c r="B405" s="139">
        <v>18</v>
      </c>
      <c r="C405" s="140">
        <f>IF((17/3)-(5*Punkteschnitt_420_tab[[#This Row],[Punkte]]/$B$3)&lt;1,1,TRUNC((17/3)-(5*Punkteschnitt_420_tab[[#This Row],[Punkte]]/$B$3),1))</f>
        <v>5.4</v>
      </c>
    </row>
    <row r="406" spans="2:3" x14ac:dyDescent="0.25">
      <c r="B406" s="139">
        <v>17</v>
      </c>
      <c r="C406" s="140">
        <f>IF((17/3)-(5*Punkteschnitt_420_tab[[#This Row],[Punkte]]/$B$3)&lt;1,1,TRUNC((17/3)-(5*Punkteschnitt_420_tab[[#This Row],[Punkte]]/$B$3),1))</f>
        <v>5.4</v>
      </c>
    </row>
    <row r="407" spans="2:3" x14ac:dyDescent="0.25">
      <c r="B407" s="139">
        <v>16</v>
      </c>
      <c r="C407" s="140">
        <f>IF((17/3)-(5*Punkteschnitt_420_tab[[#This Row],[Punkte]]/$B$3)&lt;1,1,TRUNC((17/3)-(5*Punkteschnitt_420_tab[[#This Row],[Punkte]]/$B$3),1))</f>
        <v>5.4</v>
      </c>
    </row>
    <row r="408" spans="2:3" x14ac:dyDescent="0.25">
      <c r="B408" s="139">
        <v>15</v>
      </c>
      <c r="C408" s="140">
        <f>IF((17/3)-(5*Punkteschnitt_420_tab[[#This Row],[Punkte]]/$B$3)&lt;1,1,TRUNC((17/3)-(5*Punkteschnitt_420_tab[[#This Row],[Punkte]]/$B$3),1))</f>
        <v>5.4</v>
      </c>
    </row>
    <row r="409" spans="2:3" x14ac:dyDescent="0.25">
      <c r="B409" s="139">
        <v>14</v>
      </c>
      <c r="C409" s="140">
        <f>IF((17/3)-(5*Punkteschnitt_420_tab[[#This Row],[Punkte]]/$B$3)&lt;1,1,TRUNC((17/3)-(5*Punkteschnitt_420_tab[[#This Row],[Punkte]]/$B$3),1))</f>
        <v>5.5</v>
      </c>
    </row>
    <row r="410" spans="2:3" x14ac:dyDescent="0.25">
      <c r="B410" s="139">
        <v>13</v>
      </c>
      <c r="C410" s="140">
        <f>IF((17/3)-(5*Punkteschnitt_420_tab[[#This Row],[Punkte]]/$B$3)&lt;1,1,TRUNC((17/3)-(5*Punkteschnitt_420_tab[[#This Row],[Punkte]]/$B$3),1))</f>
        <v>5.5</v>
      </c>
    </row>
    <row r="411" spans="2:3" x14ac:dyDescent="0.25">
      <c r="B411" s="139">
        <v>12</v>
      </c>
      <c r="C411" s="140">
        <f>IF((17/3)-(5*Punkteschnitt_420_tab[[#This Row],[Punkte]]/$B$3)&lt;1,1,TRUNC((17/3)-(5*Punkteschnitt_420_tab[[#This Row],[Punkte]]/$B$3),1))</f>
        <v>5.5</v>
      </c>
    </row>
    <row r="412" spans="2:3" x14ac:dyDescent="0.25">
      <c r="B412" s="139">
        <v>11</v>
      </c>
      <c r="C412" s="140">
        <f>IF((17/3)-(5*Punkteschnitt_420_tab[[#This Row],[Punkte]]/$B$3)&lt;1,1,TRUNC((17/3)-(5*Punkteschnitt_420_tab[[#This Row],[Punkte]]/$B$3),1))</f>
        <v>5.5</v>
      </c>
    </row>
    <row r="413" spans="2:3" x14ac:dyDescent="0.25">
      <c r="B413" s="139">
        <v>10</v>
      </c>
      <c r="C413" s="140">
        <f>IF((17/3)-(5*Punkteschnitt_420_tab[[#This Row],[Punkte]]/$B$3)&lt;1,1,TRUNC((17/3)-(5*Punkteschnitt_420_tab[[#This Row],[Punkte]]/$B$3),1))</f>
        <v>5.5</v>
      </c>
    </row>
    <row r="414" spans="2:3" x14ac:dyDescent="0.25">
      <c r="B414" s="139">
        <v>9</v>
      </c>
      <c r="C414" s="140">
        <f>IF((17/3)-(5*Punkteschnitt_420_tab[[#This Row],[Punkte]]/$B$3)&lt;1,1,TRUNC((17/3)-(5*Punkteschnitt_420_tab[[#This Row],[Punkte]]/$B$3),1))</f>
        <v>5.5</v>
      </c>
    </row>
    <row r="415" spans="2:3" x14ac:dyDescent="0.25">
      <c r="B415" s="139">
        <v>8</v>
      </c>
      <c r="C415" s="140">
        <f>IF((17/3)-(5*Punkteschnitt_420_tab[[#This Row],[Punkte]]/$B$3)&lt;1,1,TRUNC((17/3)-(5*Punkteschnitt_420_tab[[#This Row],[Punkte]]/$B$3),1))</f>
        <v>5.5</v>
      </c>
    </row>
    <row r="416" spans="2:3" x14ac:dyDescent="0.25">
      <c r="B416" s="139">
        <v>7</v>
      </c>
      <c r="C416" s="140">
        <f>IF((17/3)-(5*Punkteschnitt_420_tab[[#This Row],[Punkte]]/$B$3)&lt;1,1,TRUNC((17/3)-(5*Punkteschnitt_420_tab[[#This Row],[Punkte]]/$B$3),1))</f>
        <v>5.5</v>
      </c>
    </row>
    <row r="417" spans="2:3" x14ac:dyDescent="0.25">
      <c r="B417" s="139">
        <v>6</v>
      </c>
      <c r="C417" s="140">
        <f>IF((17/3)-(5*Punkteschnitt_420_tab[[#This Row],[Punkte]]/$B$3)&lt;1,1,TRUNC((17/3)-(5*Punkteschnitt_420_tab[[#This Row],[Punkte]]/$B$3),1))</f>
        <v>5.5</v>
      </c>
    </row>
    <row r="418" spans="2:3" x14ac:dyDescent="0.25">
      <c r="B418" s="139">
        <v>5</v>
      </c>
      <c r="C418" s="140">
        <f>IF((17/3)-(5*Punkteschnitt_420_tab[[#This Row],[Punkte]]/$B$3)&lt;1,1,TRUNC((17/3)-(5*Punkteschnitt_420_tab[[#This Row],[Punkte]]/$B$3),1))</f>
        <v>5.6</v>
      </c>
    </row>
    <row r="419" spans="2:3" x14ac:dyDescent="0.25">
      <c r="B419" s="139">
        <v>4</v>
      </c>
      <c r="C419" s="140">
        <f>IF((17/3)-(5*Punkteschnitt_420_tab[[#This Row],[Punkte]]/$B$3)&lt;1,1,TRUNC((17/3)-(5*Punkteschnitt_420_tab[[#This Row],[Punkte]]/$B$3),1))</f>
        <v>5.6</v>
      </c>
    </row>
    <row r="420" spans="2:3" x14ac:dyDescent="0.25">
      <c r="B420" s="139">
        <v>3</v>
      </c>
      <c r="C420" s="140">
        <f>IF((17/3)-(5*Punkteschnitt_420_tab[[#This Row],[Punkte]]/$B$3)&lt;1,1,TRUNC((17/3)-(5*Punkteschnitt_420_tab[[#This Row],[Punkte]]/$B$3),1))</f>
        <v>5.6</v>
      </c>
    </row>
    <row r="421" spans="2:3" x14ac:dyDescent="0.25">
      <c r="B421" s="139">
        <v>2</v>
      </c>
      <c r="C421" s="140">
        <f>IF((17/3)-(5*Punkteschnitt_420_tab[[#This Row],[Punkte]]/$B$3)&lt;1,1,TRUNC((17/3)-(5*Punkteschnitt_420_tab[[#This Row],[Punkte]]/$B$3),1))</f>
        <v>5.6</v>
      </c>
    </row>
    <row r="422" spans="2:3" x14ac:dyDescent="0.25">
      <c r="B422" s="139">
        <v>1</v>
      </c>
      <c r="C422" s="140">
        <f>IF((17/3)-(5*Punkteschnitt_420_tab[[#This Row],[Punkte]]/$B$3)&lt;1,1,TRUNC((17/3)-(5*Punkteschnitt_420_tab[[#This Row],[Punkte]]/$B$3),1))</f>
        <v>5.6</v>
      </c>
    </row>
    <row r="423" spans="2:3" x14ac:dyDescent="0.25">
      <c r="B423" s="139">
        <v>0</v>
      </c>
      <c r="C423" s="140">
        <f>IF((17/3)-(5*Punkteschnitt_420_tab[[#This Row],[Punkte]]/$B$3)&lt;1,1,TRUNC((17/3)-(5*Punkteschnitt_420_tab[[#This Row],[Punkte]]/$B$3),1))</f>
        <v>5.6</v>
      </c>
    </row>
  </sheetData>
  <sheetProtection algorithmName="SHA-512" hashValue="HOzJ3FF6PJVGD0IulbLOuEBX5+Y4gi3t2mIoLyvlyql9wGb3eXb8rI/Pxpj/MvMLNdwv+vycagghmrEJlJrRUQ==" saltValue="lxYXHseD8R+PdT+4t/QCmw==" spinCount="100000" sheet="1" objects="1" scenarios="1"/>
  <pageMargins left="0.7" right="0.7" top="0.78740157499999996" bottom="0.78740157499999996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61908-BAE5-418D-9BAD-3B94039AEC1D}">
  <sheetPr codeName="Tabelle5"/>
  <dimension ref="B2:D18"/>
  <sheetViews>
    <sheetView showGridLines="0" workbookViewId="0">
      <selection activeCell="E31" sqref="E31"/>
    </sheetView>
  </sheetViews>
  <sheetFormatPr baseColWidth="10" defaultRowHeight="15" x14ac:dyDescent="0.25"/>
  <cols>
    <col min="1" max="2" width="11.42578125" style="69"/>
    <col min="3" max="3" width="17" style="69" customWidth="1"/>
    <col min="4" max="16384" width="11.42578125" style="69"/>
  </cols>
  <sheetData>
    <row r="2" spans="2:4" x14ac:dyDescent="0.25">
      <c r="B2" s="69" t="s">
        <v>201</v>
      </c>
      <c r="C2" s="69" t="s">
        <v>205</v>
      </c>
      <c r="D2" s="69" t="s">
        <v>240</v>
      </c>
    </row>
    <row r="3" spans="2:4" x14ac:dyDescent="0.25">
      <c r="B3" s="141">
        <v>15</v>
      </c>
      <c r="C3" s="141" t="s">
        <v>206</v>
      </c>
      <c r="D3" s="141">
        <v>1</v>
      </c>
    </row>
    <row r="4" spans="2:4" x14ac:dyDescent="0.25">
      <c r="B4" s="141">
        <v>14</v>
      </c>
      <c r="C4" s="141" t="s">
        <v>206</v>
      </c>
      <c r="D4" s="141">
        <v>1</v>
      </c>
    </row>
    <row r="5" spans="2:4" x14ac:dyDescent="0.25">
      <c r="B5" s="141">
        <v>13</v>
      </c>
      <c r="C5" s="141" t="s">
        <v>206</v>
      </c>
      <c r="D5" s="141">
        <v>1</v>
      </c>
    </row>
    <row r="6" spans="2:4" x14ac:dyDescent="0.25">
      <c r="B6" s="141">
        <v>12</v>
      </c>
      <c r="C6" s="141" t="s">
        <v>207</v>
      </c>
      <c r="D6" s="141">
        <v>2</v>
      </c>
    </row>
    <row r="7" spans="2:4" x14ac:dyDescent="0.25">
      <c r="B7" s="141">
        <v>11</v>
      </c>
      <c r="C7" s="141" t="s">
        <v>207</v>
      </c>
      <c r="D7" s="141">
        <v>2</v>
      </c>
    </row>
    <row r="8" spans="2:4" x14ac:dyDescent="0.25">
      <c r="B8" s="141">
        <v>10</v>
      </c>
      <c r="C8" s="141" t="s">
        <v>207</v>
      </c>
      <c r="D8" s="141">
        <v>2</v>
      </c>
    </row>
    <row r="9" spans="2:4" x14ac:dyDescent="0.25">
      <c r="B9" s="141">
        <v>9</v>
      </c>
      <c r="C9" s="141" t="s">
        <v>208</v>
      </c>
      <c r="D9" s="141">
        <v>3</v>
      </c>
    </row>
    <row r="10" spans="2:4" x14ac:dyDescent="0.25">
      <c r="B10" s="141">
        <v>8</v>
      </c>
      <c r="C10" s="141" t="s">
        <v>208</v>
      </c>
      <c r="D10" s="141">
        <v>3</v>
      </c>
    </row>
    <row r="11" spans="2:4" x14ac:dyDescent="0.25">
      <c r="B11" s="141">
        <v>7</v>
      </c>
      <c r="C11" s="141" t="s">
        <v>208</v>
      </c>
      <c r="D11" s="141">
        <v>3</v>
      </c>
    </row>
    <row r="12" spans="2:4" x14ac:dyDescent="0.25">
      <c r="B12" s="141">
        <v>6</v>
      </c>
      <c r="C12" s="141" t="s">
        <v>209</v>
      </c>
      <c r="D12" s="141">
        <v>4</v>
      </c>
    </row>
    <row r="13" spans="2:4" x14ac:dyDescent="0.25">
      <c r="B13" s="141">
        <v>5</v>
      </c>
      <c r="C13" s="141" t="s">
        <v>209</v>
      </c>
      <c r="D13" s="141">
        <v>4</v>
      </c>
    </row>
    <row r="14" spans="2:4" x14ac:dyDescent="0.25">
      <c r="B14" s="141">
        <v>4</v>
      </c>
      <c r="C14" s="141" t="s">
        <v>209</v>
      </c>
      <c r="D14" s="141">
        <v>4</v>
      </c>
    </row>
    <row r="15" spans="2:4" x14ac:dyDescent="0.25">
      <c r="B15" s="141">
        <v>3</v>
      </c>
      <c r="C15" s="141" t="s">
        <v>210</v>
      </c>
      <c r="D15" s="141">
        <v>5</v>
      </c>
    </row>
    <row r="16" spans="2:4" x14ac:dyDescent="0.25">
      <c r="B16" s="141">
        <v>2</v>
      </c>
      <c r="C16" s="141" t="s">
        <v>210</v>
      </c>
      <c r="D16" s="141">
        <v>5</v>
      </c>
    </row>
    <row r="17" spans="2:4" x14ac:dyDescent="0.25">
      <c r="B17" s="141">
        <v>1</v>
      </c>
      <c r="C17" s="141" t="s">
        <v>210</v>
      </c>
      <c r="D17" s="141">
        <v>5</v>
      </c>
    </row>
    <row r="18" spans="2:4" x14ac:dyDescent="0.25">
      <c r="B18" s="141">
        <v>0</v>
      </c>
      <c r="C18" s="141" t="s">
        <v>211</v>
      </c>
      <c r="D18" s="141">
        <v>6</v>
      </c>
    </row>
  </sheetData>
  <sheetProtection algorithmName="SHA-512" hashValue="sqQlrdBxmSrOXVZG0QtjLWelhrYC1Hj//cvGEDU1ociFf2iN/ZNUGOPJr6oXpawCSl07ZBPlSIh6qA336RKLSA==" saltValue="hZ1uCma7p4AXAR1HUGe0nA==" spinCount="100000"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3"/>
  <dimension ref="B1:H67"/>
  <sheetViews>
    <sheetView showGridLines="0" zoomScale="70" zoomScaleNormal="70" workbookViewId="0"/>
  </sheetViews>
  <sheetFormatPr baseColWidth="10" defaultRowHeight="15" x14ac:dyDescent="0.25"/>
  <cols>
    <col min="1" max="1" width="16.140625" customWidth="1"/>
    <col min="2" max="2" width="58.5703125" bestFit="1" customWidth="1"/>
    <col min="3" max="6" width="30" customWidth="1"/>
    <col min="8" max="8" width="31" style="57" customWidth="1"/>
  </cols>
  <sheetData>
    <row r="1" spans="2:8" x14ac:dyDescent="0.25">
      <c r="B1" t="str">
        <f>IF(WPF!B2="Traunstein","AR_TS","AR")</f>
        <v>AR</v>
      </c>
    </row>
    <row r="2" spans="2:8" s="69" customFormat="1" x14ac:dyDescent="0.25">
      <c r="B2" s="69" t="str">
        <f>IF(Streichvorschlag!$B$2="Internationale Wirtschaft","MoeglichkeitenFS_IW_tab","MoeglichkeitenFS_tab")</f>
        <v>MoeglichkeitenFS_tab</v>
      </c>
      <c r="H2" s="57"/>
    </row>
    <row r="4" spans="2:8" ht="15.75" x14ac:dyDescent="0.25">
      <c r="B4" s="58" t="s">
        <v>83</v>
      </c>
      <c r="H4" s="59"/>
    </row>
    <row r="5" spans="2:8" ht="15.75" x14ac:dyDescent="0.25">
      <c r="B5" s="60" t="s">
        <v>178</v>
      </c>
      <c r="H5" s="61"/>
    </row>
    <row r="6" spans="2:8" ht="15.75" x14ac:dyDescent="0.25">
      <c r="B6" s="62" t="s">
        <v>89</v>
      </c>
      <c r="H6" s="62"/>
    </row>
    <row r="7" spans="2:8" ht="15.75" x14ac:dyDescent="0.25">
      <c r="B7" s="62" t="s">
        <v>90</v>
      </c>
      <c r="H7" s="62"/>
    </row>
    <row r="8" spans="2:8" ht="15.75" x14ac:dyDescent="0.25">
      <c r="B8" s="1" t="s">
        <v>84</v>
      </c>
      <c r="H8" s="62"/>
    </row>
    <row r="9" spans="2:8" ht="15.75" x14ac:dyDescent="0.25">
      <c r="B9" s="62" t="s">
        <v>88</v>
      </c>
      <c r="H9" s="62"/>
    </row>
    <row r="10" spans="2:8" ht="15.75" x14ac:dyDescent="0.25">
      <c r="B10" s="63" t="s">
        <v>85</v>
      </c>
      <c r="H10" s="62"/>
    </row>
    <row r="11" spans="2:8" ht="15.75" x14ac:dyDescent="0.25">
      <c r="B11" s="63" t="s">
        <v>86</v>
      </c>
      <c r="H11" s="62"/>
    </row>
    <row r="12" spans="2:8" ht="15.75" x14ac:dyDescent="0.25">
      <c r="B12" s="63" t="s">
        <v>87</v>
      </c>
      <c r="H12" s="62"/>
    </row>
    <row r="13" spans="2:8" ht="15.75" x14ac:dyDescent="0.25">
      <c r="H13" s="62"/>
    </row>
    <row r="14" spans="2:8" ht="15.75" x14ac:dyDescent="0.25">
      <c r="B14" s="58" t="s">
        <v>108</v>
      </c>
      <c r="H14" s="62"/>
    </row>
    <row r="15" spans="2:8" ht="15.75" x14ac:dyDescent="0.25">
      <c r="B15" s="60" t="s">
        <v>178</v>
      </c>
      <c r="H15" s="62"/>
    </row>
    <row r="16" spans="2:8" ht="15.75" x14ac:dyDescent="0.25">
      <c r="B16" s="1" t="s">
        <v>84</v>
      </c>
      <c r="H16" s="62"/>
    </row>
    <row r="17" spans="2:8" ht="15.75" x14ac:dyDescent="0.25">
      <c r="B17" s="63" t="s">
        <v>85</v>
      </c>
      <c r="H17" s="62"/>
    </row>
    <row r="18" spans="2:8" ht="15.75" x14ac:dyDescent="0.25">
      <c r="B18" s="63" t="s">
        <v>86</v>
      </c>
      <c r="H18" s="62"/>
    </row>
    <row r="19" spans="2:8" ht="15.75" x14ac:dyDescent="0.25">
      <c r="B19" s="63" t="s">
        <v>87</v>
      </c>
      <c r="H19" s="62"/>
    </row>
    <row r="21" spans="2:8" ht="15.75" x14ac:dyDescent="0.25">
      <c r="B21" s="1" t="s">
        <v>83</v>
      </c>
      <c r="C21" s="1" t="s">
        <v>91</v>
      </c>
      <c r="D21" s="1" t="s">
        <v>92</v>
      </c>
      <c r="E21" s="1" t="s">
        <v>93</v>
      </c>
      <c r="G21" s="57"/>
      <c r="H21"/>
    </row>
    <row r="22" spans="2:8" ht="15.75" x14ac:dyDescent="0.25">
      <c r="B22" s="1" t="s">
        <v>178</v>
      </c>
      <c r="C22" s="1" t="s">
        <v>94</v>
      </c>
      <c r="D22" s="1" t="s">
        <v>95</v>
      </c>
      <c r="E22" s="1" t="s">
        <v>96</v>
      </c>
      <c r="G22" s="57"/>
      <c r="H22"/>
    </row>
    <row r="23" spans="2:8" ht="15.75" x14ac:dyDescent="0.25">
      <c r="B23" s="1" t="s">
        <v>84</v>
      </c>
      <c r="C23" s="1" t="s">
        <v>9</v>
      </c>
      <c r="D23" s="1" t="s">
        <v>8</v>
      </c>
      <c r="E23" s="1" t="s">
        <v>10</v>
      </c>
      <c r="G23" s="57"/>
      <c r="H23"/>
    </row>
    <row r="24" spans="2:8" ht="15.75" x14ac:dyDescent="0.25">
      <c r="B24" s="1" t="s">
        <v>85</v>
      </c>
      <c r="C24" s="1" t="s">
        <v>99</v>
      </c>
      <c r="D24" s="1" t="s">
        <v>100</v>
      </c>
      <c r="E24" s="1" t="s">
        <v>8</v>
      </c>
      <c r="G24" s="57"/>
      <c r="H24"/>
    </row>
    <row r="25" spans="2:8" ht="15.75" x14ac:dyDescent="0.25">
      <c r="B25" s="1" t="s">
        <v>86</v>
      </c>
      <c r="C25" s="1" t="s">
        <v>32</v>
      </c>
      <c r="D25" s="1" t="s">
        <v>33</v>
      </c>
      <c r="E25" s="1" t="s">
        <v>7</v>
      </c>
      <c r="G25" s="57"/>
      <c r="H25"/>
    </row>
    <row r="26" spans="2:8" ht="15.75" x14ac:dyDescent="0.25">
      <c r="B26" s="1" t="s">
        <v>87</v>
      </c>
      <c r="C26" s="1" t="s">
        <v>97</v>
      </c>
      <c r="D26" s="1" t="s">
        <v>98</v>
      </c>
      <c r="E26" s="1" t="s">
        <v>31</v>
      </c>
      <c r="G26" s="57"/>
      <c r="H26"/>
    </row>
    <row r="27" spans="2:8" ht="15.75" x14ac:dyDescent="0.25">
      <c r="B27" s="1" t="s">
        <v>88</v>
      </c>
      <c r="C27" s="1" t="s">
        <v>40</v>
      </c>
      <c r="D27" s="1" t="s">
        <v>187</v>
      </c>
      <c r="E27" s="1" t="s">
        <v>31</v>
      </c>
      <c r="G27" s="57"/>
      <c r="H27"/>
    </row>
    <row r="28" spans="2:8" ht="15.75" x14ac:dyDescent="0.25">
      <c r="B28" s="1" t="s">
        <v>89</v>
      </c>
      <c r="C28" s="1" t="s">
        <v>8</v>
      </c>
      <c r="D28" s="1" t="s">
        <v>7</v>
      </c>
      <c r="E28" s="1" t="s">
        <v>33</v>
      </c>
      <c r="G28" s="57"/>
      <c r="H28"/>
    </row>
    <row r="29" spans="2:8" ht="15.75" x14ac:dyDescent="0.25">
      <c r="B29" s="1" t="s">
        <v>90</v>
      </c>
      <c r="C29" s="1" t="s">
        <v>90</v>
      </c>
      <c r="D29" s="1" t="s">
        <v>41</v>
      </c>
      <c r="E29" s="1" t="s">
        <v>31</v>
      </c>
      <c r="G29" s="57"/>
      <c r="H29"/>
    </row>
    <row r="30" spans="2:8" ht="15.75" x14ac:dyDescent="0.25">
      <c r="B30" s="260" t="s">
        <v>310</v>
      </c>
      <c r="C30" s="1" t="s">
        <v>94</v>
      </c>
      <c r="D30" s="1" t="s">
        <v>95</v>
      </c>
      <c r="E30" s="1" t="s">
        <v>96</v>
      </c>
    </row>
    <row r="33" spans="2:2" ht="15.75" x14ac:dyDescent="0.25">
      <c r="B33" s="1" t="s">
        <v>112</v>
      </c>
    </row>
    <row r="34" spans="2:2" ht="15.75" x14ac:dyDescent="0.25">
      <c r="B34" s="55" t="s">
        <v>49</v>
      </c>
    </row>
    <row r="35" spans="2:2" ht="15.75" x14ac:dyDescent="0.25">
      <c r="B35" s="1" t="s">
        <v>44</v>
      </c>
    </row>
    <row r="36" spans="2:2" ht="15.75" x14ac:dyDescent="0.25">
      <c r="B36" s="1" t="s">
        <v>48</v>
      </c>
    </row>
    <row r="39" spans="2:2" ht="15.75" x14ac:dyDescent="0.25">
      <c r="B39" s="1" t="s">
        <v>53</v>
      </c>
    </row>
    <row r="40" spans="2:2" ht="15.75" x14ac:dyDescent="0.25">
      <c r="B40" s="55" t="s">
        <v>178</v>
      </c>
    </row>
    <row r="41" spans="2:2" ht="15.75" x14ac:dyDescent="0.25">
      <c r="B41" s="1" t="s">
        <v>106</v>
      </c>
    </row>
    <row r="42" spans="2:2" ht="15.75" x14ac:dyDescent="0.25">
      <c r="B42" s="1" t="s">
        <v>105</v>
      </c>
    </row>
    <row r="43" spans="2:2" ht="15.75" x14ac:dyDescent="0.25">
      <c r="B43" s="1" t="s">
        <v>104</v>
      </c>
    </row>
    <row r="44" spans="2:2" ht="15.75" x14ac:dyDescent="0.25">
      <c r="B44" s="1" t="s">
        <v>52</v>
      </c>
    </row>
    <row r="45" spans="2:2" ht="15.75" x14ac:dyDescent="0.25">
      <c r="B45" s="1" t="s">
        <v>179</v>
      </c>
    </row>
    <row r="48" spans="2:2" x14ac:dyDescent="0.25">
      <c r="B48" t="s">
        <v>59</v>
      </c>
    </row>
    <row r="49" spans="2:2" ht="15.75" x14ac:dyDescent="0.25">
      <c r="B49" s="55" t="s">
        <v>178</v>
      </c>
    </row>
    <row r="50" spans="2:2" ht="15.75" x14ac:dyDescent="0.25">
      <c r="B50" s="1" t="s">
        <v>51</v>
      </c>
    </row>
    <row r="51" spans="2:2" ht="15.75" x14ac:dyDescent="0.25">
      <c r="B51" s="1" t="s">
        <v>57</v>
      </c>
    </row>
    <row r="54" spans="2:2" ht="15.75" x14ac:dyDescent="0.25">
      <c r="B54" s="1" t="s">
        <v>186</v>
      </c>
    </row>
    <row r="55" spans="2:2" ht="15.75" x14ac:dyDescent="0.25">
      <c r="B55" s="55" t="s">
        <v>178</v>
      </c>
    </row>
    <row r="56" spans="2:2" ht="15.75" x14ac:dyDescent="0.25">
      <c r="B56" s="1" t="s">
        <v>188</v>
      </c>
    </row>
    <row r="57" spans="2:2" ht="15.75" x14ac:dyDescent="0.25">
      <c r="B57" s="1" t="s">
        <v>106</v>
      </c>
    </row>
    <row r="58" spans="2:2" ht="15.75" x14ac:dyDescent="0.25">
      <c r="B58" s="1" t="s">
        <v>105</v>
      </c>
    </row>
    <row r="59" spans="2:2" ht="15.75" x14ac:dyDescent="0.25">
      <c r="B59" s="1" t="s">
        <v>104</v>
      </c>
    </row>
    <row r="60" spans="2:2" ht="15.75" x14ac:dyDescent="0.25">
      <c r="B60" s="1" t="s">
        <v>52</v>
      </c>
    </row>
    <row r="61" spans="2:2" ht="15.75" x14ac:dyDescent="0.25">
      <c r="B61" s="1" t="s">
        <v>179</v>
      </c>
    </row>
    <row r="64" spans="2:2" x14ac:dyDescent="0.25">
      <c r="B64" s="69" t="s">
        <v>293</v>
      </c>
    </row>
    <row r="65" spans="2:2" ht="15.75" x14ac:dyDescent="0.25">
      <c r="B65" s="55" t="s">
        <v>178</v>
      </c>
    </row>
    <row r="66" spans="2:2" ht="15.75" x14ac:dyDescent="0.25">
      <c r="B66" s="1" t="s">
        <v>294</v>
      </c>
    </row>
    <row r="67" spans="2:2" ht="15.75" x14ac:dyDescent="0.25">
      <c r="B67" s="1" t="s">
        <v>295</v>
      </c>
    </row>
  </sheetData>
  <sheetProtection algorithmName="SHA-512" hashValue="FD1mdOwXgmbx28onONoh4+VyJjB7Wud7aHKqY6iMhPumlzgfdh6eOo/bkG3QLpUaGPaVM6ZCipbeMLmp3PIaWA==" saltValue="VZEEHwXGwv3fJpunANMCOA==" spinCount="100000" sheet="1" objects="1" scenarios="1" selectLockedCells="1"/>
  <pageMargins left="0.7" right="0.7" top="0.78740157499999996" bottom="0.78740157499999996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/>
  <dimension ref="A1:Q341"/>
  <sheetViews>
    <sheetView showGridLines="0" zoomScaleNormal="100" workbookViewId="0">
      <selection activeCell="B6" sqref="B6"/>
    </sheetView>
  </sheetViews>
  <sheetFormatPr baseColWidth="10" defaultRowHeight="15" x14ac:dyDescent="0.25"/>
  <cols>
    <col min="1" max="1" width="14.28515625" customWidth="1"/>
    <col min="2" max="2" width="33.85546875" bestFit="1" customWidth="1"/>
    <col min="3" max="3" width="13.140625" customWidth="1"/>
    <col min="4" max="4" width="40.85546875" customWidth="1"/>
    <col min="6" max="6" width="40.85546875" customWidth="1"/>
  </cols>
  <sheetData>
    <row r="1" spans="1:6" x14ac:dyDescent="0.25">
      <c r="B1" t="s">
        <v>113</v>
      </c>
    </row>
    <row r="2" spans="1:6" x14ac:dyDescent="0.25">
      <c r="A2" t="s">
        <v>114</v>
      </c>
      <c r="B2" s="64" t="str">
        <f>IFERROR(IF(D2="FOSBOS Traunstein","Traunstein",IF(D2="andere FOSBOS in Bayern","andere","nicht gewählt")),"")</f>
        <v>nicht gewählt</v>
      </c>
      <c r="D2" t="str">
        <f>Start!$C$8</f>
        <v>Bitte klicken zum Auswählen</v>
      </c>
    </row>
    <row r="6" spans="1:6" x14ac:dyDescent="0.25">
      <c r="A6" t="s">
        <v>115</v>
      </c>
      <c r="B6" t="str">
        <f>IFERROR(IF(OR(Streichvorschlag!$B$2="Internationale Wirtschaft",Streichvorschlag!$B$2="Sozialwesen",Streichvorschlag!$B$2="Wirtschaft",Streichvorschlag!$B$2="ABU",Streichvorschlag!$B$2="Gestaltung",Streichvorschlag!$B$2="Gesundheit",Streichvorschlag!$B$2="Technik"),Streichvorschlag!$B$2,""),"")</f>
        <v/>
      </c>
    </row>
    <row r="8" spans="1:6" x14ac:dyDescent="0.25">
      <c r="A8" t="s">
        <v>116</v>
      </c>
      <c r="B8" t="str">
        <f>IF($B$2="Traunstein",CONCATENATE(LEFT($B$6,11),"_WPF1","_TS"),CONCATENATE(LEFT($B$6,11),"_WPF1"))</f>
        <v>_WPF1</v>
      </c>
    </row>
    <row r="9" spans="1:6" x14ac:dyDescent="0.25">
      <c r="A9" t="s">
        <v>117</v>
      </c>
      <c r="B9" t="str">
        <f>IF($B$2="Traunstein",CONCATENATE(LEFT($B$6,11),"_WPF2","_TS"),CONCATENATE(LEFT($B$6,11),"_WPF2"))</f>
        <v>_WPF2</v>
      </c>
    </row>
    <row r="10" spans="1:6" x14ac:dyDescent="0.25">
      <c r="A10" t="s">
        <v>118</v>
      </c>
      <c r="B10" t="str">
        <f>IF($B$2="Traunstein",CONCATENATE(LEFT($B$6,11),"_WPF3","_TS"),CONCATENATE(LEFT($B$6,11),"_WPF3"))</f>
        <v>_WPF3</v>
      </c>
    </row>
    <row r="11" spans="1:6" x14ac:dyDescent="0.25">
      <c r="A11" t="s">
        <v>119</v>
      </c>
      <c r="B11" t="str">
        <f>IF($B$2="Traunstein",CONCATENATE(LEFT($B$6,11),"_WPF4","_TS"),CONCATENATE(LEFT($B$6,11),"_WPF4"))</f>
        <v>_WPF4</v>
      </c>
      <c r="D11" t="s">
        <v>120</v>
      </c>
      <c r="F11" t="s">
        <v>121</v>
      </c>
    </row>
    <row r="13" spans="1:6" x14ac:dyDescent="0.25">
      <c r="D13" t="s">
        <v>122</v>
      </c>
      <c r="F13" t="s">
        <v>123</v>
      </c>
    </row>
    <row r="14" spans="1:6" ht="15.75" x14ac:dyDescent="0.25">
      <c r="D14" s="65" t="s">
        <v>71</v>
      </c>
      <c r="F14" s="65" t="s">
        <v>71</v>
      </c>
    </row>
    <row r="16" spans="1:6" ht="15.75" x14ac:dyDescent="0.25">
      <c r="D16" s="59" t="s">
        <v>124</v>
      </c>
      <c r="F16" s="59" t="s">
        <v>125</v>
      </c>
    </row>
    <row r="17" spans="4:6" ht="15.75" x14ac:dyDescent="0.25">
      <c r="D17" s="66" t="s">
        <v>71</v>
      </c>
      <c r="F17" s="66" t="s">
        <v>71</v>
      </c>
    </row>
    <row r="18" spans="4:6" ht="15.75" x14ac:dyDescent="0.25">
      <c r="D18" s="67" t="s">
        <v>126</v>
      </c>
      <c r="F18" s="71" t="s">
        <v>127</v>
      </c>
    </row>
    <row r="19" spans="4:6" ht="15.75" x14ac:dyDescent="0.25">
      <c r="D19" s="67" t="s">
        <v>69</v>
      </c>
      <c r="F19" s="67" t="s">
        <v>60</v>
      </c>
    </row>
    <row r="20" spans="4:6" ht="15.75" x14ac:dyDescent="0.25">
      <c r="D20" s="67" t="s">
        <v>127</v>
      </c>
      <c r="F20" s="67" t="s">
        <v>63</v>
      </c>
    </row>
    <row r="21" spans="4:6" ht="15.75" x14ac:dyDescent="0.25">
      <c r="D21" s="67" t="s">
        <v>60</v>
      </c>
      <c r="F21" s="67" t="s">
        <v>64</v>
      </c>
    </row>
    <row r="22" spans="4:6" ht="15.75" x14ac:dyDescent="0.25">
      <c r="D22" s="67" t="s">
        <v>63</v>
      </c>
      <c r="F22" s="67" t="s">
        <v>61</v>
      </c>
    </row>
    <row r="23" spans="4:6" ht="15.75" x14ac:dyDescent="0.25">
      <c r="D23" s="67" t="s">
        <v>64</v>
      </c>
      <c r="F23" s="68"/>
    </row>
    <row r="24" spans="4:6" ht="15.75" x14ac:dyDescent="0.25">
      <c r="D24" s="67" t="s">
        <v>111</v>
      </c>
      <c r="F24" s="68"/>
    </row>
    <row r="25" spans="4:6" ht="15.75" x14ac:dyDescent="0.25">
      <c r="D25" s="67" t="s">
        <v>67</v>
      </c>
      <c r="F25" s="68"/>
    </row>
    <row r="26" spans="4:6" ht="15.75" x14ac:dyDescent="0.25">
      <c r="D26" s="67" t="s">
        <v>164</v>
      </c>
      <c r="F26" s="68"/>
    </row>
    <row r="27" spans="4:6" ht="15.75" x14ac:dyDescent="0.25">
      <c r="D27" s="67" t="s">
        <v>110</v>
      </c>
    </row>
    <row r="28" spans="4:6" ht="15.75" x14ac:dyDescent="0.25">
      <c r="D28" s="67" t="s">
        <v>165</v>
      </c>
    </row>
    <row r="29" spans="4:6" ht="15.75" x14ac:dyDescent="0.25">
      <c r="D29" s="67" t="s">
        <v>109</v>
      </c>
    </row>
    <row r="30" spans="4:6" ht="15.75" x14ac:dyDescent="0.25">
      <c r="D30" s="71" t="s">
        <v>61</v>
      </c>
    </row>
    <row r="31" spans="4:6" ht="15.75" x14ac:dyDescent="0.25">
      <c r="D31" s="71" t="s">
        <v>62</v>
      </c>
    </row>
    <row r="32" spans="4:6" ht="15.75" x14ac:dyDescent="0.25">
      <c r="D32" s="71" t="s">
        <v>167</v>
      </c>
    </row>
    <row r="33" spans="4:6" ht="15.75" x14ac:dyDescent="0.25">
      <c r="D33" s="71" t="s">
        <v>166</v>
      </c>
    </row>
    <row r="34" spans="4:6" ht="15.75" x14ac:dyDescent="0.25">
      <c r="D34" s="71" t="s">
        <v>68</v>
      </c>
    </row>
    <row r="35" spans="4:6" ht="15.75" x14ac:dyDescent="0.25">
      <c r="D35" s="68"/>
      <c r="F35" s="59" t="s">
        <v>129</v>
      </c>
    </row>
    <row r="36" spans="4:6" ht="15.75" x14ac:dyDescent="0.25">
      <c r="D36" s="68"/>
      <c r="F36" s="66" t="s">
        <v>71</v>
      </c>
    </row>
    <row r="37" spans="4:6" ht="15.75" x14ac:dyDescent="0.25">
      <c r="D37" s="59" t="s">
        <v>128</v>
      </c>
      <c r="F37" s="67" t="s">
        <v>69</v>
      </c>
    </row>
    <row r="38" spans="4:6" ht="15.75" x14ac:dyDescent="0.25">
      <c r="D38" s="66" t="s">
        <v>71</v>
      </c>
      <c r="F38" s="67" t="s">
        <v>60</v>
      </c>
    </row>
    <row r="39" spans="4:6" ht="15.75" x14ac:dyDescent="0.25">
      <c r="D39" s="67" t="s">
        <v>69</v>
      </c>
      <c r="F39" s="67" t="s">
        <v>63</v>
      </c>
    </row>
    <row r="40" spans="4:6" ht="15.75" x14ac:dyDescent="0.25">
      <c r="D40" s="67" t="s">
        <v>130</v>
      </c>
      <c r="F40" s="67" t="s">
        <v>65</v>
      </c>
    </row>
    <row r="41" spans="4:6" ht="15.75" x14ac:dyDescent="0.25">
      <c r="D41" s="67" t="s">
        <v>127</v>
      </c>
      <c r="F41" s="67" t="s">
        <v>67</v>
      </c>
    </row>
    <row r="42" spans="4:6" ht="15.75" x14ac:dyDescent="0.25">
      <c r="D42" s="67" t="s">
        <v>60</v>
      </c>
      <c r="F42" s="67" t="s">
        <v>61</v>
      </c>
    </row>
    <row r="43" spans="4:6" ht="15.75" x14ac:dyDescent="0.25">
      <c r="D43" s="67" t="s">
        <v>63</v>
      </c>
      <c r="F43" s="67" t="s">
        <v>68</v>
      </c>
    </row>
    <row r="44" spans="4:6" ht="15.75" x14ac:dyDescent="0.25">
      <c r="D44" s="67" t="s">
        <v>65</v>
      </c>
    </row>
    <row r="45" spans="4:6" ht="15.75" x14ac:dyDescent="0.25">
      <c r="D45" s="67" t="s">
        <v>111</v>
      </c>
    </row>
    <row r="46" spans="4:6" ht="15.75" x14ac:dyDescent="0.25">
      <c r="D46" s="67" t="s">
        <v>67</v>
      </c>
    </row>
    <row r="47" spans="4:6" ht="15.75" x14ac:dyDescent="0.25">
      <c r="D47" s="71" t="s">
        <v>164</v>
      </c>
    </row>
    <row r="48" spans="4:6" ht="15.75" x14ac:dyDescent="0.25">
      <c r="D48" s="67" t="s">
        <v>110</v>
      </c>
    </row>
    <row r="49" spans="4:17" ht="15.75" x14ac:dyDescent="0.25">
      <c r="D49" s="71" t="s">
        <v>165</v>
      </c>
    </row>
    <row r="50" spans="4:17" ht="15.75" x14ac:dyDescent="0.25">
      <c r="D50" s="67" t="s">
        <v>109</v>
      </c>
      <c r="F50" s="69"/>
    </row>
    <row r="51" spans="4:17" ht="15.75" x14ac:dyDescent="0.25">
      <c r="D51" s="67" t="s">
        <v>61</v>
      </c>
      <c r="F51" s="69"/>
    </row>
    <row r="52" spans="4:17" s="69" customFormat="1" ht="15.75" x14ac:dyDescent="0.25">
      <c r="D52" s="72" t="s">
        <v>62</v>
      </c>
    </row>
    <row r="53" spans="4:17" s="69" customFormat="1" ht="15.75" x14ac:dyDescent="0.25">
      <c r="D53" s="72" t="s">
        <v>167</v>
      </c>
      <c r="F53"/>
    </row>
    <row r="54" spans="4:17" s="69" customFormat="1" ht="15.75" x14ac:dyDescent="0.25">
      <c r="D54" s="72" t="s">
        <v>166</v>
      </c>
      <c r="F54"/>
    </row>
    <row r="55" spans="4:17" ht="15.75" x14ac:dyDescent="0.25">
      <c r="D55" s="72" t="s">
        <v>68</v>
      </c>
    </row>
    <row r="56" spans="4:17" x14ac:dyDescent="0.25">
      <c r="D56" s="68"/>
      <c r="E56" s="68"/>
    </row>
    <row r="57" spans="4:17" x14ac:dyDescent="0.25">
      <c r="D57" s="68"/>
      <c r="E57" s="68"/>
    </row>
    <row r="58" spans="4:17" ht="15.75" x14ac:dyDescent="0.25">
      <c r="D58" s="68"/>
      <c r="E58" s="68"/>
      <c r="F58" s="59" t="s">
        <v>132</v>
      </c>
      <c r="G58" s="68"/>
      <c r="H58" s="68"/>
      <c r="I58" s="68"/>
      <c r="K58" s="68"/>
      <c r="L58" s="68"/>
      <c r="M58" s="68"/>
      <c r="N58" s="68"/>
      <c r="O58" s="68"/>
      <c r="P58" s="68"/>
      <c r="Q58" s="68"/>
    </row>
    <row r="59" spans="4:17" ht="15.75" x14ac:dyDescent="0.25">
      <c r="F59" s="66" t="s">
        <v>71</v>
      </c>
    </row>
    <row r="60" spans="4:17" ht="15.75" x14ac:dyDescent="0.25">
      <c r="D60" s="59" t="s">
        <v>131</v>
      </c>
      <c r="F60" s="71" t="s">
        <v>127</v>
      </c>
    </row>
    <row r="61" spans="4:17" ht="15.75" x14ac:dyDescent="0.25">
      <c r="D61" s="66" t="s">
        <v>71</v>
      </c>
      <c r="F61" s="67" t="s">
        <v>60</v>
      </c>
    </row>
    <row r="62" spans="4:17" ht="15.75" x14ac:dyDescent="0.25">
      <c r="D62" s="67" t="s">
        <v>126</v>
      </c>
      <c r="F62" s="67" t="s">
        <v>63</v>
      </c>
    </row>
    <row r="63" spans="4:17" ht="15.75" x14ac:dyDescent="0.25">
      <c r="D63" s="67" t="s">
        <v>133</v>
      </c>
      <c r="F63" s="67" t="s">
        <v>61</v>
      </c>
    </row>
    <row r="64" spans="4:17" ht="15.75" x14ac:dyDescent="0.25">
      <c r="D64" s="67" t="s">
        <v>134</v>
      </c>
      <c r="F64" s="67" t="s">
        <v>66</v>
      </c>
    </row>
    <row r="65" spans="4:6" ht="15.75" x14ac:dyDescent="0.25">
      <c r="D65" s="67" t="s">
        <v>69</v>
      </c>
    </row>
    <row r="66" spans="4:6" ht="15.75" x14ac:dyDescent="0.25">
      <c r="D66" s="67" t="s">
        <v>127</v>
      </c>
    </row>
    <row r="67" spans="4:6" ht="15.75" x14ac:dyDescent="0.25">
      <c r="D67" s="67" t="s">
        <v>60</v>
      </c>
    </row>
    <row r="68" spans="4:6" ht="15.75" x14ac:dyDescent="0.25">
      <c r="D68" s="67" t="s">
        <v>63</v>
      </c>
    </row>
    <row r="69" spans="4:6" ht="15.75" x14ac:dyDescent="0.25">
      <c r="D69" s="67" t="s">
        <v>65</v>
      </c>
    </row>
    <row r="70" spans="4:6" ht="15.75" x14ac:dyDescent="0.25">
      <c r="D70" s="67" t="s">
        <v>111</v>
      </c>
    </row>
    <row r="71" spans="4:6" ht="15.75" x14ac:dyDescent="0.25">
      <c r="D71" s="67" t="s">
        <v>67</v>
      </c>
    </row>
    <row r="72" spans="4:6" ht="15.75" x14ac:dyDescent="0.25">
      <c r="D72" s="67" t="s">
        <v>164</v>
      </c>
    </row>
    <row r="73" spans="4:6" ht="15.75" x14ac:dyDescent="0.25">
      <c r="D73" s="67" t="s">
        <v>110</v>
      </c>
      <c r="F73" s="69"/>
    </row>
    <row r="74" spans="4:6" ht="15.75" x14ac:dyDescent="0.25">
      <c r="D74" s="67" t="s">
        <v>110</v>
      </c>
      <c r="F74" s="69"/>
    </row>
    <row r="75" spans="4:6" ht="15.75" x14ac:dyDescent="0.25">
      <c r="D75" s="67" t="s">
        <v>165</v>
      </c>
      <c r="F75" s="69"/>
    </row>
    <row r="76" spans="4:6" s="69" customFormat="1" ht="15.75" x14ac:dyDescent="0.25">
      <c r="D76" s="71" t="s">
        <v>109</v>
      </c>
      <c r="F76"/>
    </row>
    <row r="77" spans="4:6" s="69" customFormat="1" ht="15.75" x14ac:dyDescent="0.25">
      <c r="D77" s="71" t="s">
        <v>61</v>
      </c>
      <c r="F77"/>
    </row>
    <row r="78" spans="4:6" s="69" customFormat="1" ht="15.75" x14ac:dyDescent="0.25">
      <c r="D78" s="71" t="s">
        <v>62</v>
      </c>
      <c r="F78"/>
    </row>
    <row r="79" spans="4:6" ht="15.75" x14ac:dyDescent="0.25">
      <c r="D79" s="71" t="s">
        <v>167</v>
      </c>
    </row>
    <row r="80" spans="4:6" ht="15.75" x14ac:dyDescent="0.25">
      <c r="D80" s="71" t="s">
        <v>166</v>
      </c>
      <c r="F80" s="59" t="s">
        <v>136</v>
      </c>
    </row>
    <row r="81" spans="4:6" ht="15.75" x14ac:dyDescent="0.25">
      <c r="D81" s="71" t="s">
        <v>66</v>
      </c>
      <c r="F81" s="66" t="s">
        <v>71</v>
      </c>
    </row>
    <row r="82" spans="4:6" ht="15.75" x14ac:dyDescent="0.25">
      <c r="F82" s="67" t="s">
        <v>69</v>
      </c>
    </row>
    <row r="83" spans="4:6" ht="15.75" x14ac:dyDescent="0.25">
      <c r="D83" s="59" t="s">
        <v>135</v>
      </c>
      <c r="F83" s="67" t="s">
        <v>60</v>
      </c>
    </row>
    <row r="84" spans="4:6" ht="15.75" x14ac:dyDescent="0.25">
      <c r="D84" s="66" t="s">
        <v>71</v>
      </c>
      <c r="F84" s="67" t="s">
        <v>63</v>
      </c>
    </row>
    <row r="85" spans="4:6" ht="15.75" x14ac:dyDescent="0.25">
      <c r="D85" s="67" t="s">
        <v>126</v>
      </c>
      <c r="F85" s="67" t="s">
        <v>64</v>
      </c>
    </row>
    <row r="86" spans="4:6" ht="15.75" x14ac:dyDescent="0.25">
      <c r="D86" s="67" t="s">
        <v>133</v>
      </c>
      <c r="F86" s="67" t="s">
        <v>67</v>
      </c>
    </row>
    <row r="87" spans="4:6" ht="15.75" x14ac:dyDescent="0.25">
      <c r="D87" s="67" t="s">
        <v>134</v>
      </c>
      <c r="F87" s="67" t="s">
        <v>61</v>
      </c>
    </row>
    <row r="88" spans="4:6" ht="15.75" x14ac:dyDescent="0.25">
      <c r="D88" s="67" t="s">
        <v>69</v>
      </c>
      <c r="F88" s="67" t="s">
        <v>66</v>
      </c>
    </row>
    <row r="89" spans="4:6" ht="15.75" x14ac:dyDescent="0.25">
      <c r="D89" s="67" t="s">
        <v>127</v>
      </c>
    </row>
    <row r="90" spans="4:6" ht="15.75" x14ac:dyDescent="0.25">
      <c r="D90" s="67" t="s">
        <v>60</v>
      </c>
    </row>
    <row r="91" spans="4:6" ht="15.75" x14ac:dyDescent="0.25">
      <c r="D91" s="67" t="s">
        <v>63</v>
      </c>
    </row>
    <row r="92" spans="4:6" ht="15.75" x14ac:dyDescent="0.25">
      <c r="D92" s="67" t="s">
        <v>64</v>
      </c>
    </row>
    <row r="93" spans="4:6" ht="15.75" x14ac:dyDescent="0.25">
      <c r="D93" s="67" t="s">
        <v>67</v>
      </c>
    </row>
    <row r="94" spans="4:6" ht="15.75" x14ac:dyDescent="0.25">
      <c r="D94" s="67" t="s">
        <v>164</v>
      </c>
    </row>
    <row r="95" spans="4:6" ht="15.75" x14ac:dyDescent="0.25">
      <c r="D95" s="67" t="s">
        <v>110</v>
      </c>
    </row>
    <row r="96" spans="4:6" ht="15.75" x14ac:dyDescent="0.25">
      <c r="D96" s="67" t="s">
        <v>165</v>
      </c>
    </row>
    <row r="97" spans="4:6" ht="15.75" x14ac:dyDescent="0.25">
      <c r="D97" s="67" t="s">
        <v>109</v>
      </c>
      <c r="F97" s="69"/>
    </row>
    <row r="98" spans="4:6" ht="15.75" x14ac:dyDescent="0.25">
      <c r="D98" s="67" t="s">
        <v>61</v>
      </c>
      <c r="F98" s="69"/>
    </row>
    <row r="99" spans="4:6" ht="15.75" x14ac:dyDescent="0.25">
      <c r="D99" s="71" t="s">
        <v>62</v>
      </c>
      <c r="F99" s="69"/>
    </row>
    <row r="100" spans="4:6" s="69" customFormat="1" ht="15.75" x14ac:dyDescent="0.25">
      <c r="D100" s="71" t="s">
        <v>167</v>
      </c>
      <c r="F100"/>
    </row>
    <row r="101" spans="4:6" s="69" customFormat="1" ht="15.75" x14ac:dyDescent="0.25">
      <c r="D101" s="71" t="s">
        <v>166</v>
      </c>
      <c r="F101"/>
    </row>
    <row r="102" spans="4:6" s="69" customFormat="1" ht="15.75" x14ac:dyDescent="0.25">
      <c r="D102" s="71" t="s">
        <v>66</v>
      </c>
      <c r="F102"/>
    </row>
    <row r="103" spans="4:6" ht="15.75" x14ac:dyDescent="0.25">
      <c r="F103" s="59" t="s">
        <v>138</v>
      </c>
    </row>
    <row r="104" spans="4:6" ht="15.75" x14ac:dyDescent="0.25">
      <c r="F104" s="66" t="s">
        <v>71</v>
      </c>
    </row>
    <row r="105" spans="4:6" ht="15.75" x14ac:dyDescent="0.25">
      <c r="F105" s="71" t="s">
        <v>127</v>
      </c>
    </row>
    <row r="106" spans="4:6" ht="15.75" x14ac:dyDescent="0.25">
      <c r="D106" s="59" t="s">
        <v>137</v>
      </c>
      <c r="F106" s="67" t="s">
        <v>60</v>
      </c>
    </row>
    <row r="107" spans="4:6" ht="15.75" x14ac:dyDescent="0.25">
      <c r="D107" s="66" t="s">
        <v>71</v>
      </c>
      <c r="F107" s="67" t="s">
        <v>63</v>
      </c>
    </row>
    <row r="108" spans="4:6" ht="15.75" x14ac:dyDescent="0.25">
      <c r="D108" s="67" t="s">
        <v>133</v>
      </c>
      <c r="F108" s="71" t="s">
        <v>70</v>
      </c>
    </row>
    <row r="109" spans="4:6" ht="15.75" x14ac:dyDescent="0.25">
      <c r="D109" s="67" t="s">
        <v>134</v>
      </c>
      <c r="F109" s="67" t="s">
        <v>61</v>
      </c>
    </row>
    <row r="110" spans="4:6" ht="15.75" x14ac:dyDescent="0.25">
      <c r="D110" s="67" t="s">
        <v>127</v>
      </c>
    </row>
    <row r="111" spans="4:6" ht="15.75" x14ac:dyDescent="0.25">
      <c r="D111" s="67" t="s">
        <v>60</v>
      </c>
    </row>
    <row r="112" spans="4:6" ht="15.75" x14ac:dyDescent="0.25">
      <c r="D112" s="67" t="s">
        <v>63</v>
      </c>
    </row>
    <row r="113" spans="4:6" ht="15.75" x14ac:dyDescent="0.25">
      <c r="D113" s="67" t="s">
        <v>65</v>
      </c>
    </row>
    <row r="114" spans="4:6" ht="15.75" x14ac:dyDescent="0.25">
      <c r="D114" s="67" t="s">
        <v>111</v>
      </c>
    </row>
    <row r="115" spans="4:6" ht="15.75" x14ac:dyDescent="0.25">
      <c r="D115" s="67" t="s">
        <v>67</v>
      </c>
    </row>
    <row r="116" spans="4:6" ht="15.75" x14ac:dyDescent="0.25">
      <c r="D116" s="67" t="s">
        <v>164</v>
      </c>
    </row>
    <row r="117" spans="4:6" ht="15.75" x14ac:dyDescent="0.25">
      <c r="D117" s="67" t="s">
        <v>110</v>
      </c>
    </row>
    <row r="118" spans="4:6" ht="15.75" x14ac:dyDescent="0.25">
      <c r="D118" s="67" t="s">
        <v>165</v>
      </c>
      <c r="F118" s="69"/>
    </row>
    <row r="119" spans="4:6" ht="15.75" x14ac:dyDescent="0.25">
      <c r="D119" s="71" t="s">
        <v>70</v>
      </c>
      <c r="F119" s="69"/>
    </row>
    <row r="120" spans="4:6" ht="15.75" x14ac:dyDescent="0.25">
      <c r="D120" s="67" t="s">
        <v>61</v>
      </c>
      <c r="F120" s="69"/>
    </row>
    <row r="121" spans="4:6" s="69" customFormat="1" ht="15.75" x14ac:dyDescent="0.25">
      <c r="D121" s="71" t="s">
        <v>62</v>
      </c>
      <c r="F121"/>
    </row>
    <row r="122" spans="4:6" s="69" customFormat="1" ht="15.75" x14ac:dyDescent="0.25">
      <c r="D122" s="71" t="s">
        <v>139</v>
      </c>
      <c r="F122"/>
    </row>
    <row r="123" spans="4:6" s="69" customFormat="1" ht="15.75" x14ac:dyDescent="0.25">
      <c r="D123" s="71" t="s">
        <v>167</v>
      </c>
      <c r="F123"/>
    </row>
    <row r="124" spans="4:6" ht="15.75" x14ac:dyDescent="0.25">
      <c r="D124" s="71" t="s">
        <v>166</v>
      </c>
    </row>
    <row r="125" spans="4:6" x14ac:dyDescent="0.25">
      <c r="D125" s="68"/>
    </row>
    <row r="126" spans="4:6" ht="15.75" x14ac:dyDescent="0.25">
      <c r="D126" s="68"/>
      <c r="F126" s="59" t="s">
        <v>141</v>
      </c>
    </row>
    <row r="127" spans="4:6" ht="15.75" x14ac:dyDescent="0.25">
      <c r="D127" s="68"/>
      <c r="F127" s="66" t="s">
        <v>71</v>
      </c>
    </row>
    <row r="128" spans="4:6" ht="15.75" x14ac:dyDescent="0.25">
      <c r="F128" s="71" t="s">
        <v>127</v>
      </c>
    </row>
    <row r="129" spans="4:6" ht="15.75" x14ac:dyDescent="0.25">
      <c r="F129" s="67" t="s">
        <v>60</v>
      </c>
    </row>
    <row r="130" spans="4:6" ht="15.75" x14ac:dyDescent="0.25">
      <c r="D130" s="59" t="s">
        <v>140</v>
      </c>
      <c r="F130" s="67" t="s">
        <v>63</v>
      </c>
    </row>
    <row r="131" spans="4:6" ht="15.75" x14ac:dyDescent="0.25">
      <c r="D131" s="66" t="s">
        <v>71</v>
      </c>
      <c r="F131" s="67" t="s">
        <v>61</v>
      </c>
    </row>
    <row r="132" spans="4:6" ht="15.75" x14ac:dyDescent="0.25">
      <c r="D132" s="67" t="s">
        <v>134</v>
      </c>
      <c r="F132" s="71" t="s">
        <v>139</v>
      </c>
    </row>
    <row r="133" spans="4:6" ht="15.75" x14ac:dyDescent="0.25">
      <c r="D133" s="67" t="s">
        <v>69</v>
      </c>
    </row>
    <row r="134" spans="4:6" ht="15.75" x14ac:dyDescent="0.25">
      <c r="D134" s="67" t="s">
        <v>127</v>
      </c>
    </row>
    <row r="135" spans="4:6" ht="15.75" x14ac:dyDescent="0.25">
      <c r="D135" s="67" t="s">
        <v>60</v>
      </c>
    </row>
    <row r="136" spans="4:6" ht="15.75" x14ac:dyDescent="0.25">
      <c r="D136" s="67" t="s">
        <v>63</v>
      </c>
    </row>
    <row r="137" spans="4:6" ht="15.75" x14ac:dyDescent="0.25">
      <c r="D137" s="67" t="s">
        <v>142</v>
      </c>
    </row>
    <row r="138" spans="4:6" ht="15.75" x14ac:dyDescent="0.25">
      <c r="D138" s="67" t="s">
        <v>65</v>
      </c>
    </row>
    <row r="139" spans="4:6" ht="15.75" x14ac:dyDescent="0.25">
      <c r="D139" s="67" t="s">
        <v>111</v>
      </c>
    </row>
    <row r="140" spans="4:6" ht="15.75" x14ac:dyDescent="0.25">
      <c r="D140" s="67" t="s">
        <v>67</v>
      </c>
      <c r="F140" s="68"/>
    </row>
    <row r="141" spans="4:6" ht="15.75" x14ac:dyDescent="0.25">
      <c r="D141" s="67" t="s">
        <v>164</v>
      </c>
      <c r="F141" s="68"/>
    </row>
    <row r="142" spans="4:6" ht="15.75" x14ac:dyDescent="0.25">
      <c r="D142" s="67" t="s">
        <v>110</v>
      </c>
      <c r="F142" s="70"/>
    </row>
    <row r="143" spans="4:6" ht="15.75" x14ac:dyDescent="0.25">
      <c r="D143" s="67" t="s">
        <v>165</v>
      </c>
      <c r="F143" s="70"/>
    </row>
    <row r="144" spans="4:6" ht="15.75" x14ac:dyDescent="0.25">
      <c r="D144" s="67" t="s">
        <v>70</v>
      </c>
      <c r="F144" s="70"/>
    </row>
    <row r="145" spans="4:6" ht="15.75" x14ac:dyDescent="0.25">
      <c r="D145" s="67" t="s">
        <v>109</v>
      </c>
      <c r="F145" s="68"/>
    </row>
    <row r="146" spans="4:6" ht="15.75" x14ac:dyDescent="0.25">
      <c r="D146" s="67" t="s">
        <v>61</v>
      </c>
      <c r="F146" s="59" t="s">
        <v>144</v>
      </c>
    </row>
    <row r="147" spans="4:6" ht="15.75" x14ac:dyDescent="0.25">
      <c r="D147" s="67" t="s">
        <v>62</v>
      </c>
      <c r="F147" s="66" t="s">
        <v>71</v>
      </c>
    </row>
    <row r="148" spans="4:6" s="69" customFormat="1" ht="15.75" x14ac:dyDescent="0.25">
      <c r="D148" s="71" t="s">
        <v>139</v>
      </c>
      <c r="F148" s="67" t="s">
        <v>69</v>
      </c>
    </row>
    <row r="149" spans="4:6" s="69" customFormat="1" ht="15.75" x14ac:dyDescent="0.25">
      <c r="D149" s="71" t="s">
        <v>167</v>
      </c>
      <c r="F149" s="67" t="s">
        <v>60</v>
      </c>
    </row>
    <row r="150" spans="4:6" s="69" customFormat="1" ht="15.75" x14ac:dyDescent="0.25">
      <c r="D150" s="71" t="s">
        <v>166</v>
      </c>
      <c r="F150" s="67" t="s">
        <v>63</v>
      </c>
    </row>
    <row r="151" spans="4:6" ht="15.75" x14ac:dyDescent="0.25">
      <c r="D151" s="71" t="s">
        <v>68</v>
      </c>
      <c r="F151" s="67" t="s">
        <v>65</v>
      </c>
    </row>
    <row r="152" spans="4:6" ht="15.75" x14ac:dyDescent="0.25">
      <c r="F152" s="67" t="s">
        <v>67</v>
      </c>
    </row>
    <row r="153" spans="4:6" ht="15.75" x14ac:dyDescent="0.25">
      <c r="D153" s="59" t="s">
        <v>143</v>
      </c>
      <c r="F153" s="67" t="s">
        <v>61</v>
      </c>
    </row>
    <row r="154" spans="4:6" ht="15.75" x14ac:dyDescent="0.25">
      <c r="D154" s="66" t="s">
        <v>71</v>
      </c>
      <c r="F154" s="67" t="s">
        <v>68</v>
      </c>
    </row>
    <row r="155" spans="4:6" ht="15.75" x14ac:dyDescent="0.25">
      <c r="D155" s="67" t="s">
        <v>126</v>
      </c>
    </row>
    <row r="156" spans="4:6" ht="15.75" x14ac:dyDescent="0.25">
      <c r="D156" s="67" t="s">
        <v>133</v>
      </c>
      <c r="F156" s="68"/>
    </row>
    <row r="157" spans="4:6" ht="15.75" x14ac:dyDescent="0.25">
      <c r="D157" s="67" t="s">
        <v>134</v>
      </c>
      <c r="F157" s="68"/>
    </row>
    <row r="158" spans="4:6" ht="15.75" x14ac:dyDescent="0.25">
      <c r="D158" s="67" t="s">
        <v>69</v>
      </c>
    </row>
    <row r="159" spans="4:6" ht="15.75" x14ac:dyDescent="0.25">
      <c r="D159" s="67" t="s">
        <v>127</v>
      </c>
    </row>
    <row r="160" spans="4:6" ht="15.75" x14ac:dyDescent="0.25">
      <c r="D160" s="67" t="s">
        <v>145</v>
      </c>
    </row>
    <row r="161" spans="4:6" ht="15.75" x14ac:dyDescent="0.25">
      <c r="D161" s="67" t="s">
        <v>60</v>
      </c>
    </row>
    <row r="162" spans="4:6" ht="15.75" x14ac:dyDescent="0.25">
      <c r="D162" s="67" t="s">
        <v>63</v>
      </c>
    </row>
    <row r="163" spans="4:6" ht="15.75" x14ac:dyDescent="0.25">
      <c r="D163" s="67" t="s">
        <v>65</v>
      </c>
    </row>
    <row r="164" spans="4:6" ht="15.75" x14ac:dyDescent="0.25">
      <c r="D164" s="67" t="s">
        <v>111</v>
      </c>
    </row>
    <row r="165" spans="4:6" ht="15.75" x14ac:dyDescent="0.25">
      <c r="D165" s="67" t="s">
        <v>67</v>
      </c>
      <c r="F165" s="69"/>
    </row>
    <row r="166" spans="4:6" ht="15.75" x14ac:dyDescent="0.25">
      <c r="D166" s="67" t="s">
        <v>164</v>
      </c>
      <c r="F166" s="69"/>
    </row>
    <row r="167" spans="4:6" ht="15.75" x14ac:dyDescent="0.25">
      <c r="D167" s="67" t="s">
        <v>110</v>
      </c>
      <c r="F167" s="69"/>
    </row>
    <row r="168" spans="4:6" ht="15.75" x14ac:dyDescent="0.25">
      <c r="D168" s="67" t="s">
        <v>165</v>
      </c>
    </row>
    <row r="169" spans="4:6" ht="15.75" x14ac:dyDescent="0.25">
      <c r="D169" s="67" t="s">
        <v>109</v>
      </c>
      <c r="F169" t="s">
        <v>147</v>
      </c>
    </row>
    <row r="170" spans="4:6" ht="15.75" x14ac:dyDescent="0.25">
      <c r="D170" s="67" t="s">
        <v>61</v>
      </c>
      <c r="F170" s="65" t="s">
        <v>72</v>
      </c>
    </row>
    <row r="171" spans="4:6" s="69" customFormat="1" ht="15.75" x14ac:dyDescent="0.25">
      <c r="D171" s="71" t="s">
        <v>62</v>
      </c>
      <c r="F171"/>
    </row>
    <row r="172" spans="4:6" s="69" customFormat="1" ht="15.75" x14ac:dyDescent="0.25">
      <c r="D172" s="71" t="s">
        <v>167</v>
      </c>
      <c r="F172" s="59" t="s">
        <v>149</v>
      </c>
    </row>
    <row r="173" spans="4:6" s="69" customFormat="1" ht="15.75" x14ac:dyDescent="0.25">
      <c r="D173" s="71" t="s">
        <v>166</v>
      </c>
      <c r="F173" s="66" t="s">
        <v>72</v>
      </c>
    </row>
    <row r="174" spans="4:6" ht="15.75" x14ac:dyDescent="0.25">
      <c r="D174" s="71" t="s">
        <v>68</v>
      </c>
      <c r="F174" s="71" t="s">
        <v>127</v>
      </c>
    </row>
    <row r="175" spans="4:6" ht="15.75" x14ac:dyDescent="0.25">
      <c r="F175" s="67" t="s">
        <v>60</v>
      </c>
    </row>
    <row r="176" spans="4:6" ht="15.75" x14ac:dyDescent="0.25">
      <c r="D176" t="s">
        <v>146</v>
      </c>
      <c r="F176" s="67" t="s">
        <v>63</v>
      </c>
    </row>
    <row r="177" spans="4:6" ht="15.75" x14ac:dyDescent="0.25">
      <c r="D177" s="65" t="s">
        <v>72</v>
      </c>
      <c r="F177" s="67" t="s">
        <v>64</v>
      </c>
    </row>
    <row r="178" spans="4:6" ht="15.75" x14ac:dyDescent="0.25">
      <c r="F178" s="67" t="s">
        <v>61</v>
      </c>
    </row>
    <row r="179" spans="4:6" ht="15.75" x14ac:dyDescent="0.25">
      <c r="D179" s="59" t="s">
        <v>148</v>
      </c>
    </row>
    <row r="180" spans="4:6" ht="15.75" x14ac:dyDescent="0.25">
      <c r="D180" s="66" t="s">
        <v>72</v>
      </c>
    </row>
    <row r="181" spans="4:6" ht="15.75" x14ac:dyDescent="0.25">
      <c r="D181" s="67" t="s">
        <v>126</v>
      </c>
    </row>
    <row r="182" spans="4:6" ht="15.75" x14ac:dyDescent="0.25">
      <c r="D182" s="67" t="s">
        <v>69</v>
      </c>
      <c r="F182" s="68"/>
    </row>
    <row r="183" spans="4:6" ht="15.75" x14ac:dyDescent="0.25">
      <c r="D183" s="67" t="s">
        <v>127</v>
      </c>
      <c r="F183" s="68"/>
    </row>
    <row r="184" spans="4:6" ht="15.75" x14ac:dyDescent="0.25">
      <c r="D184" s="67" t="s">
        <v>60</v>
      </c>
      <c r="F184" s="68"/>
    </row>
    <row r="185" spans="4:6" ht="15.75" x14ac:dyDescent="0.25">
      <c r="D185" s="67" t="s">
        <v>63</v>
      </c>
      <c r="F185" s="68"/>
    </row>
    <row r="186" spans="4:6" ht="15.75" x14ac:dyDescent="0.25">
      <c r="D186" s="67" t="s">
        <v>64</v>
      </c>
      <c r="F186" s="70"/>
    </row>
    <row r="187" spans="4:6" ht="15.75" x14ac:dyDescent="0.25">
      <c r="D187" s="67" t="s">
        <v>111</v>
      </c>
      <c r="F187" s="70"/>
    </row>
    <row r="188" spans="4:6" ht="15.75" x14ac:dyDescent="0.25">
      <c r="D188" s="67" t="s">
        <v>67</v>
      </c>
      <c r="F188" s="70"/>
    </row>
    <row r="189" spans="4:6" ht="15.75" x14ac:dyDescent="0.25">
      <c r="D189" s="67" t="s">
        <v>164</v>
      </c>
    </row>
    <row r="190" spans="4:6" ht="15.75" x14ac:dyDescent="0.25">
      <c r="D190" s="67" t="s">
        <v>110</v>
      </c>
    </row>
    <row r="191" spans="4:6" ht="15.75" x14ac:dyDescent="0.25">
      <c r="D191" s="67" t="s">
        <v>165</v>
      </c>
    </row>
    <row r="192" spans="4:6" ht="15.75" x14ac:dyDescent="0.25">
      <c r="D192" s="67" t="s">
        <v>109</v>
      </c>
    </row>
    <row r="193" spans="4:6" ht="15.75" x14ac:dyDescent="0.25">
      <c r="D193" s="71" t="s">
        <v>61</v>
      </c>
      <c r="F193" s="59" t="s">
        <v>151</v>
      </c>
    </row>
    <row r="194" spans="4:6" s="69" customFormat="1" ht="15.75" x14ac:dyDescent="0.25">
      <c r="D194" s="71" t="s">
        <v>62</v>
      </c>
      <c r="F194" s="66" t="s">
        <v>72</v>
      </c>
    </row>
    <row r="195" spans="4:6" s="69" customFormat="1" ht="15.75" x14ac:dyDescent="0.25">
      <c r="D195" s="71" t="s">
        <v>167</v>
      </c>
      <c r="F195" s="67" t="s">
        <v>69</v>
      </c>
    </row>
    <row r="196" spans="4:6" s="69" customFormat="1" ht="15.75" x14ac:dyDescent="0.25">
      <c r="D196" s="71" t="s">
        <v>166</v>
      </c>
      <c r="F196" s="67" t="s">
        <v>60</v>
      </c>
    </row>
    <row r="197" spans="4:6" ht="15.75" x14ac:dyDescent="0.25">
      <c r="D197" s="71" t="s">
        <v>68</v>
      </c>
      <c r="F197" s="67" t="s">
        <v>63</v>
      </c>
    </row>
    <row r="198" spans="4:6" ht="15.75" x14ac:dyDescent="0.25">
      <c r="D198" s="68"/>
      <c r="F198" s="67" t="s">
        <v>65</v>
      </c>
    </row>
    <row r="199" spans="4:6" ht="15.75" x14ac:dyDescent="0.25">
      <c r="D199" s="68"/>
      <c r="F199" s="67" t="s">
        <v>67</v>
      </c>
    </row>
    <row r="200" spans="4:6" ht="15.75" x14ac:dyDescent="0.25">
      <c r="F200" s="67" t="s">
        <v>61</v>
      </c>
    </row>
    <row r="201" spans="4:6" ht="15.75" x14ac:dyDescent="0.25">
      <c r="F201" s="67" t="s">
        <v>68</v>
      </c>
    </row>
    <row r="202" spans="4:6" ht="15.75" x14ac:dyDescent="0.25">
      <c r="D202" s="59" t="s">
        <v>150</v>
      </c>
    </row>
    <row r="203" spans="4:6" ht="15.75" x14ac:dyDescent="0.25">
      <c r="D203" s="66" t="s">
        <v>72</v>
      </c>
    </row>
    <row r="204" spans="4:6" ht="15.75" x14ac:dyDescent="0.25">
      <c r="D204" s="67" t="s">
        <v>69</v>
      </c>
    </row>
    <row r="205" spans="4:6" ht="15.75" x14ac:dyDescent="0.25">
      <c r="D205" s="67" t="s">
        <v>130</v>
      </c>
    </row>
    <row r="206" spans="4:6" ht="15.75" x14ac:dyDescent="0.25">
      <c r="D206" s="67" t="s">
        <v>127</v>
      </c>
    </row>
    <row r="207" spans="4:6" ht="15.75" x14ac:dyDescent="0.25">
      <c r="D207" s="67" t="s">
        <v>60</v>
      </c>
    </row>
    <row r="208" spans="4:6" ht="15.75" x14ac:dyDescent="0.25">
      <c r="D208" s="67" t="s">
        <v>63</v>
      </c>
    </row>
    <row r="209" spans="4:6" ht="15.75" x14ac:dyDescent="0.25">
      <c r="D209" s="67" t="s">
        <v>65</v>
      </c>
    </row>
    <row r="210" spans="4:6" ht="15.75" x14ac:dyDescent="0.25">
      <c r="D210" s="67" t="s">
        <v>111</v>
      </c>
      <c r="F210" s="69"/>
    </row>
    <row r="211" spans="4:6" ht="15.75" x14ac:dyDescent="0.25">
      <c r="D211" s="67" t="s">
        <v>67</v>
      </c>
      <c r="F211" s="69"/>
    </row>
    <row r="212" spans="4:6" ht="15.75" x14ac:dyDescent="0.25">
      <c r="D212" s="67" t="s">
        <v>164</v>
      </c>
      <c r="F212" s="69"/>
    </row>
    <row r="213" spans="4:6" ht="15.75" x14ac:dyDescent="0.25">
      <c r="D213" s="67" t="s">
        <v>110</v>
      </c>
    </row>
    <row r="214" spans="4:6" ht="15.75" x14ac:dyDescent="0.25">
      <c r="D214" s="67" t="s">
        <v>165</v>
      </c>
    </row>
    <row r="215" spans="4:6" ht="15.75" x14ac:dyDescent="0.25">
      <c r="D215" s="67" t="s">
        <v>109</v>
      </c>
    </row>
    <row r="216" spans="4:6" ht="15.75" x14ac:dyDescent="0.25">
      <c r="D216" s="67" t="s">
        <v>61</v>
      </c>
      <c r="F216" s="59" t="s">
        <v>153</v>
      </c>
    </row>
    <row r="217" spans="4:6" ht="15.75" x14ac:dyDescent="0.25">
      <c r="D217" s="71" t="s">
        <v>62</v>
      </c>
      <c r="F217" s="66" t="s">
        <v>72</v>
      </c>
    </row>
    <row r="218" spans="4:6" s="69" customFormat="1" ht="15.75" x14ac:dyDescent="0.25">
      <c r="D218" s="71" t="s">
        <v>167</v>
      </c>
      <c r="F218" s="71" t="s">
        <v>127</v>
      </c>
    </row>
    <row r="219" spans="4:6" s="69" customFormat="1" ht="15.75" x14ac:dyDescent="0.25">
      <c r="D219" s="71" t="s">
        <v>166</v>
      </c>
      <c r="F219" s="67" t="s">
        <v>60</v>
      </c>
    </row>
    <row r="220" spans="4:6" s="69" customFormat="1" ht="15.75" x14ac:dyDescent="0.25">
      <c r="D220" s="71" t="s">
        <v>68</v>
      </c>
      <c r="F220" s="67" t="s">
        <v>63</v>
      </c>
    </row>
    <row r="221" spans="4:6" ht="15.75" x14ac:dyDescent="0.25">
      <c r="D221" s="70"/>
      <c r="F221" s="67" t="s">
        <v>61</v>
      </c>
    </row>
    <row r="222" spans="4:6" ht="15.75" x14ac:dyDescent="0.25">
      <c r="D222" s="68"/>
      <c r="F222" s="67" t="s">
        <v>66</v>
      </c>
    </row>
    <row r="225" spans="4:6" ht="15.75" x14ac:dyDescent="0.25">
      <c r="D225" s="59" t="s">
        <v>152</v>
      </c>
    </row>
    <row r="226" spans="4:6" ht="15.75" x14ac:dyDescent="0.25">
      <c r="D226" s="66" t="s">
        <v>72</v>
      </c>
    </row>
    <row r="227" spans="4:6" ht="15.75" x14ac:dyDescent="0.25">
      <c r="D227" s="67" t="s">
        <v>126</v>
      </c>
    </row>
    <row r="228" spans="4:6" ht="15.75" x14ac:dyDescent="0.25">
      <c r="D228" s="67" t="s">
        <v>133</v>
      </c>
    </row>
    <row r="229" spans="4:6" ht="15.75" x14ac:dyDescent="0.25">
      <c r="D229" s="67" t="s">
        <v>134</v>
      </c>
    </row>
    <row r="230" spans="4:6" ht="15.75" x14ac:dyDescent="0.25">
      <c r="D230" s="67" t="s">
        <v>69</v>
      </c>
    </row>
    <row r="231" spans="4:6" ht="15.75" x14ac:dyDescent="0.25">
      <c r="D231" s="67" t="s">
        <v>127</v>
      </c>
    </row>
    <row r="232" spans="4:6" ht="15.75" x14ac:dyDescent="0.25">
      <c r="D232" s="67" t="s">
        <v>60</v>
      </c>
      <c r="F232" s="69"/>
    </row>
    <row r="233" spans="4:6" ht="15.75" x14ac:dyDescent="0.25">
      <c r="D233" s="67" t="s">
        <v>63</v>
      </c>
      <c r="F233" s="69"/>
    </row>
    <row r="234" spans="4:6" ht="15.75" x14ac:dyDescent="0.25">
      <c r="D234" s="67" t="s">
        <v>65</v>
      </c>
      <c r="F234" s="69"/>
    </row>
    <row r="235" spans="4:6" ht="15.75" x14ac:dyDescent="0.25">
      <c r="D235" s="67" t="s">
        <v>111</v>
      </c>
    </row>
    <row r="236" spans="4:6" ht="15.75" x14ac:dyDescent="0.25">
      <c r="D236" s="67" t="s">
        <v>67</v>
      </c>
    </row>
    <row r="237" spans="4:6" ht="15.75" x14ac:dyDescent="0.25">
      <c r="D237" s="67" t="s">
        <v>164</v>
      </c>
    </row>
    <row r="238" spans="4:6" ht="15.75" x14ac:dyDescent="0.25">
      <c r="D238" s="67" t="s">
        <v>110</v>
      </c>
      <c r="F238" s="59" t="s">
        <v>155</v>
      </c>
    </row>
    <row r="239" spans="4:6" ht="15.75" x14ac:dyDescent="0.25">
      <c r="D239" s="67" t="s">
        <v>165</v>
      </c>
      <c r="F239" s="66" t="s">
        <v>72</v>
      </c>
    </row>
    <row r="240" spans="4:6" ht="15.75" x14ac:dyDescent="0.25">
      <c r="D240" s="67" t="s">
        <v>109</v>
      </c>
      <c r="F240" s="67" t="s">
        <v>69</v>
      </c>
    </row>
    <row r="241" spans="4:6" s="69" customFormat="1" ht="15.75" x14ac:dyDescent="0.25">
      <c r="D241" s="71" t="s">
        <v>61</v>
      </c>
      <c r="F241" s="67" t="s">
        <v>60</v>
      </c>
    </row>
    <row r="242" spans="4:6" s="69" customFormat="1" ht="15.75" x14ac:dyDescent="0.25">
      <c r="D242" s="71" t="s">
        <v>62</v>
      </c>
      <c r="F242" s="67" t="s">
        <v>63</v>
      </c>
    </row>
    <row r="243" spans="4:6" s="69" customFormat="1" ht="15.75" x14ac:dyDescent="0.25">
      <c r="D243" s="71" t="s">
        <v>167</v>
      </c>
      <c r="F243" s="67" t="s">
        <v>64</v>
      </c>
    </row>
    <row r="244" spans="4:6" ht="15.75" x14ac:dyDescent="0.25">
      <c r="D244" s="71" t="s">
        <v>166</v>
      </c>
      <c r="F244" s="67" t="s">
        <v>67</v>
      </c>
    </row>
    <row r="245" spans="4:6" ht="15.75" x14ac:dyDescent="0.25">
      <c r="D245" s="71" t="s">
        <v>66</v>
      </c>
      <c r="F245" s="67" t="s">
        <v>61</v>
      </c>
    </row>
    <row r="246" spans="4:6" ht="15.75" x14ac:dyDescent="0.25">
      <c r="F246" s="67" t="s">
        <v>66</v>
      </c>
    </row>
    <row r="248" spans="4:6" ht="15.75" x14ac:dyDescent="0.25">
      <c r="D248" s="59" t="s">
        <v>154</v>
      </c>
    </row>
    <row r="249" spans="4:6" ht="15.75" x14ac:dyDescent="0.25">
      <c r="D249" s="66" t="s">
        <v>72</v>
      </c>
    </row>
    <row r="250" spans="4:6" ht="15.75" x14ac:dyDescent="0.25">
      <c r="D250" s="67" t="s">
        <v>126</v>
      </c>
    </row>
    <row r="251" spans="4:6" ht="15.75" x14ac:dyDescent="0.25">
      <c r="D251" s="67" t="s">
        <v>133</v>
      </c>
    </row>
    <row r="252" spans="4:6" ht="15.75" x14ac:dyDescent="0.25">
      <c r="D252" s="67" t="s">
        <v>134</v>
      </c>
    </row>
    <row r="253" spans="4:6" ht="15.75" x14ac:dyDescent="0.25">
      <c r="D253" s="67" t="s">
        <v>69</v>
      </c>
    </row>
    <row r="254" spans="4:6" ht="15.75" x14ac:dyDescent="0.25">
      <c r="D254" s="67" t="s">
        <v>127</v>
      </c>
    </row>
    <row r="255" spans="4:6" ht="15.75" x14ac:dyDescent="0.25">
      <c r="D255" s="67" t="s">
        <v>60</v>
      </c>
      <c r="F255" s="69"/>
    </row>
    <row r="256" spans="4:6" ht="15.75" x14ac:dyDescent="0.25">
      <c r="D256" s="67" t="s">
        <v>63</v>
      </c>
      <c r="F256" s="69"/>
    </row>
    <row r="257" spans="4:6" ht="15.75" x14ac:dyDescent="0.25">
      <c r="D257" s="67" t="s">
        <v>64</v>
      </c>
      <c r="F257" s="69"/>
    </row>
    <row r="258" spans="4:6" ht="15.75" x14ac:dyDescent="0.25">
      <c r="D258" s="67" t="s">
        <v>67</v>
      </c>
    </row>
    <row r="259" spans="4:6" ht="15.75" x14ac:dyDescent="0.25">
      <c r="D259" s="67" t="s">
        <v>164</v>
      </c>
    </row>
    <row r="260" spans="4:6" ht="15.75" x14ac:dyDescent="0.25">
      <c r="D260" s="67" t="s">
        <v>110</v>
      </c>
    </row>
    <row r="261" spans="4:6" ht="15.75" x14ac:dyDescent="0.25">
      <c r="D261" s="67" t="s">
        <v>165</v>
      </c>
      <c r="F261" s="59" t="s">
        <v>157</v>
      </c>
    </row>
    <row r="262" spans="4:6" ht="15.75" x14ac:dyDescent="0.25">
      <c r="D262" s="67" t="s">
        <v>109</v>
      </c>
      <c r="F262" s="66" t="s">
        <v>72</v>
      </c>
    </row>
    <row r="263" spans="4:6" ht="15.75" x14ac:dyDescent="0.25">
      <c r="D263" s="67" t="s">
        <v>61</v>
      </c>
      <c r="F263" s="71" t="s">
        <v>127</v>
      </c>
    </row>
    <row r="264" spans="4:6" s="69" customFormat="1" ht="15.75" x14ac:dyDescent="0.25">
      <c r="D264" s="71" t="s">
        <v>62</v>
      </c>
      <c r="F264" s="67" t="s">
        <v>60</v>
      </c>
    </row>
    <row r="265" spans="4:6" s="69" customFormat="1" ht="15.75" x14ac:dyDescent="0.25">
      <c r="D265" s="71" t="s">
        <v>167</v>
      </c>
      <c r="F265" s="67" t="s">
        <v>63</v>
      </c>
    </row>
    <row r="266" spans="4:6" s="69" customFormat="1" ht="15.75" x14ac:dyDescent="0.25">
      <c r="D266" s="71" t="s">
        <v>166</v>
      </c>
      <c r="F266" s="71" t="s">
        <v>70</v>
      </c>
    </row>
    <row r="267" spans="4:6" ht="15.75" x14ac:dyDescent="0.25">
      <c r="D267" s="71" t="s">
        <v>66</v>
      </c>
      <c r="F267" s="67" t="s">
        <v>61</v>
      </c>
    </row>
    <row r="268" spans="4:6" x14ac:dyDescent="0.25">
      <c r="D268" s="68"/>
    </row>
    <row r="271" spans="4:6" ht="15.75" x14ac:dyDescent="0.25">
      <c r="D271" s="59" t="s">
        <v>156</v>
      </c>
    </row>
    <row r="272" spans="4:6" ht="15.75" x14ac:dyDescent="0.25">
      <c r="D272" s="66" t="s">
        <v>72</v>
      </c>
    </row>
    <row r="273" spans="4:6" ht="15.75" x14ac:dyDescent="0.25">
      <c r="D273" s="67" t="s">
        <v>133</v>
      </c>
    </row>
    <row r="274" spans="4:6" ht="15.75" x14ac:dyDescent="0.25">
      <c r="D274" s="67" t="s">
        <v>134</v>
      </c>
    </row>
    <row r="275" spans="4:6" ht="15.75" x14ac:dyDescent="0.25">
      <c r="D275" s="67" t="s">
        <v>127</v>
      </c>
    </row>
    <row r="276" spans="4:6" ht="15.75" x14ac:dyDescent="0.25">
      <c r="D276" s="67" t="s">
        <v>60</v>
      </c>
    </row>
    <row r="277" spans="4:6" ht="15.75" x14ac:dyDescent="0.25">
      <c r="D277" s="67" t="s">
        <v>63</v>
      </c>
      <c r="F277" s="69"/>
    </row>
    <row r="278" spans="4:6" ht="15.75" x14ac:dyDescent="0.25">
      <c r="D278" s="67" t="s">
        <v>65</v>
      </c>
      <c r="F278" s="69"/>
    </row>
    <row r="279" spans="4:6" ht="15.75" x14ac:dyDescent="0.25">
      <c r="D279" s="67" t="s">
        <v>111</v>
      </c>
      <c r="F279" s="69"/>
    </row>
    <row r="280" spans="4:6" ht="15.75" x14ac:dyDescent="0.25">
      <c r="D280" s="67" t="s">
        <v>67</v>
      </c>
    </row>
    <row r="281" spans="4:6" ht="15.75" x14ac:dyDescent="0.25">
      <c r="D281" s="67" t="s">
        <v>164</v>
      </c>
    </row>
    <row r="282" spans="4:6" ht="15.75" x14ac:dyDescent="0.25">
      <c r="D282" s="67" t="s">
        <v>110</v>
      </c>
    </row>
    <row r="283" spans="4:6" ht="15.75" x14ac:dyDescent="0.25">
      <c r="D283" s="67" t="s">
        <v>165</v>
      </c>
      <c r="F283" s="59" t="s">
        <v>159</v>
      </c>
    </row>
    <row r="284" spans="4:6" ht="15.75" x14ac:dyDescent="0.25">
      <c r="D284" s="71" t="s">
        <v>70</v>
      </c>
      <c r="F284" s="66" t="s">
        <v>72</v>
      </c>
    </row>
    <row r="285" spans="4:6" ht="15.75" x14ac:dyDescent="0.25">
      <c r="D285" s="67" t="s">
        <v>61</v>
      </c>
      <c r="F285" s="67" t="s">
        <v>69</v>
      </c>
    </row>
    <row r="286" spans="4:6" ht="15.75" x14ac:dyDescent="0.25">
      <c r="D286" s="71" t="s">
        <v>62</v>
      </c>
      <c r="F286" s="67" t="s">
        <v>60</v>
      </c>
    </row>
    <row r="287" spans="4:6" s="69" customFormat="1" ht="15.75" x14ac:dyDescent="0.25">
      <c r="D287" s="71" t="s">
        <v>139</v>
      </c>
      <c r="F287" s="67" t="s">
        <v>63</v>
      </c>
    </row>
    <row r="288" spans="4:6" s="69" customFormat="1" ht="15.75" x14ac:dyDescent="0.25">
      <c r="D288" s="71" t="s">
        <v>167</v>
      </c>
      <c r="F288" s="67" t="s">
        <v>65</v>
      </c>
    </row>
    <row r="289" spans="4:6" s="69" customFormat="1" ht="15.75" x14ac:dyDescent="0.25">
      <c r="D289" s="71" t="s">
        <v>166</v>
      </c>
      <c r="F289" s="67" t="s">
        <v>67</v>
      </c>
    </row>
    <row r="290" spans="4:6" ht="15.75" x14ac:dyDescent="0.25">
      <c r="D290" s="70"/>
      <c r="F290" s="67" t="s">
        <v>70</v>
      </c>
    </row>
    <row r="291" spans="4:6" ht="15.75" x14ac:dyDescent="0.25">
      <c r="D291" s="70"/>
      <c r="F291" s="67" t="s">
        <v>61</v>
      </c>
    </row>
    <row r="292" spans="4:6" ht="15.75" x14ac:dyDescent="0.25">
      <c r="D292" s="68"/>
      <c r="F292" s="67" t="s">
        <v>68</v>
      </c>
    </row>
    <row r="295" spans="4:6" ht="15.75" x14ac:dyDescent="0.25">
      <c r="D295" s="59" t="s">
        <v>158</v>
      </c>
    </row>
    <row r="296" spans="4:6" ht="15.75" x14ac:dyDescent="0.25">
      <c r="D296" s="66" t="s">
        <v>72</v>
      </c>
    </row>
    <row r="297" spans="4:6" ht="15.75" x14ac:dyDescent="0.25">
      <c r="D297" s="67" t="s">
        <v>134</v>
      </c>
    </row>
    <row r="298" spans="4:6" ht="15.75" x14ac:dyDescent="0.25">
      <c r="D298" s="67" t="s">
        <v>69</v>
      </c>
    </row>
    <row r="299" spans="4:6" ht="15.75" x14ac:dyDescent="0.25">
      <c r="D299" s="67" t="s">
        <v>127</v>
      </c>
    </row>
    <row r="300" spans="4:6" ht="15.75" x14ac:dyDescent="0.25">
      <c r="D300" s="67" t="s">
        <v>60</v>
      </c>
    </row>
    <row r="301" spans="4:6" ht="15.75" x14ac:dyDescent="0.25">
      <c r="D301" s="67" t="s">
        <v>63</v>
      </c>
      <c r="F301" s="69"/>
    </row>
    <row r="302" spans="4:6" ht="15.75" x14ac:dyDescent="0.25">
      <c r="D302" s="67" t="s">
        <v>142</v>
      </c>
      <c r="F302" s="69"/>
    </row>
    <row r="303" spans="4:6" ht="15.75" x14ac:dyDescent="0.25">
      <c r="D303" s="67" t="s">
        <v>65</v>
      </c>
      <c r="F303" s="69"/>
    </row>
    <row r="304" spans="4:6" ht="15.75" x14ac:dyDescent="0.25">
      <c r="D304" s="67" t="s">
        <v>111</v>
      </c>
      <c r="F304" s="69"/>
    </row>
    <row r="305" spans="4:6" ht="15.75" x14ac:dyDescent="0.25">
      <c r="D305" s="67" t="s">
        <v>67</v>
      </c>
      <c r="F305" s="69"/>
    </row>
    <row r="306" spans="4:6" ht="15.75" x14ac:dyDescent="0.25">
      <c r="D306" s="67" t="s">
        <v>164</v>
      </c>
    </row>
    <row r="307" spans="4:6" ht="15.75" x14ac:dyDescent="0.25">
      <c r="D307" s="67" t="s">
        <v>110</v>
      </c>
    </row>
    <row r="308" spans="4:6" ht="15.75" x14ac:dyDescent="0.25">
      <c r="D308" s="67" t="s">
        <v>165</v>
      </c>
      <c r="F308" s="59" t="s">
        <v>161</v>
      </c>
    </row>
    <row r="309" spans="4:6" ht="15.75" x14ac:dyDescent="0.25">
      <c r="D309" s="67" t="s">
        <v>70</v>
      </c>
      <c r="F309" s="66" t="s">
        <v>72</v>
      </c>
    </row>
    <row r="310" spans="4:6" ht="15.75" x14ac:dyDescent="0.25">
      <c r="D310" s="67" t="s">
        <v>109</v>
      </c>
      <c r="F310" s="67" t="s">
        <v>69</v>
      </c>
    </row>
    <row r="311" spans="4:6" s="69" customFormat="1" ht="15.75" x14ac:dyDescent="0.25">
      <c r="D311" s="67" t="s">
        <v>61</v>
      </c>
      <c r="F311" s="67" t="s">
        <v>60</v>
      </c>
    </row>
    <row r="312" spans="4:6" s="69" customFormat="1" ht="15.75" x14ac:dyDescent="0.25">
      <c r="D312" s="67" t="s">
        <v>62</v>
      </c>
      <c r="F312" s="67" t="s">
        <v>63</v>
      </c>
    </row>
    <row r="313" spans="4:6" s="69" customFormat="1" ht="15.75" x14ac:dyDescent="0.25">
      <c r="D313" s="71" t="s">
        <v>139</v>
      </c>
      <c r="F313" s="67" t="s">
        <v>65</v>
      </c>
    </row>
    <row r="314" spans="4:6" s="69" customFormat="1" ht="15.75" x14ac:dyDescent="0.25">
      <c r="D314" s="71" t="s">
        <v>167</v>
      </c>
      <c r="F314" s="67" t="s">
        <v>67</v>
      </c>
    </row>
    <row r="315" spans="4:6" s="69" customFormat="1" ht="15.75" x14ac:dyDescent="0.25">
      <c r="D315" s="71" t="s">
        <v>166</v>
      </c>
      <c r="F315" s="67" t="s">
        <v>61</v>
      </c>
    </row>
    <row r="316" spans="4:6" ht="15.75" x14ac:dyDescent="0.25">
      <c r="D316" s="71" t="s">
        <v>68</v>
      </c>
      <c r="F316" s="67" t="s">
        <v>68</v>
      </c>
    </row>
    <row r="317" spans="4:6" ht="15.75" x14ac:dyDescent="0.25">
      <c r="D317" s="72"/>
    </row>
    <row r="320" spans="4:6" ht="15.75" x14ac:dyDescent="0.25">
      <c r="D320" s="59" t="s">
        <v>160</v>
      </c>
    </row>
    <row r="321" spans="4:4" ht="15.75" x14ac:dyDescent="0.25">
      <c r="D321" s="66" t="s">
        <v>72</v>
      </c>
    </row>
    <row r="322" spans="4:4" ht="15.75" x14ac:dyDescent="0.25">
      <c r="D322" s="67" t="s">
        <v>126</v>
      </c>
    </row>
    <row r="323" spans="4:4" ht="15.75" x14ac:dyDescent="0.25">
      <c r="D323" s="67" t="s">
        <v>133</v>
      </c>
    </row>
    <row r="324" spans="4:4" ht="15.75" x14ac:dyDescent="0.25">
      <c r="D324" s="67" t="s">
        <v>134</v>
      </c>
    </row>
    <row r="325" spans="4:4" ht="15.75" x14ac:dyDescent="0.25">
      <c r="D325" s="67" t="s">
        <v>69</v>
      </c>
    </row>
    <row r="326" spans="4:4" ht="15.75" x14ac:dyDescent="0.25">
      <c r="D326" s="67" t="s">
        <v>127</v>
      </c>
    </row>
    <row r="327" spans="4:4" ht="15.75" x14ac:dyDescent="0.25">
      <c r="D327" s="67" t="s">
        <v>145</v>
      </c>
    </row>
    <row r="328" spans="4:4" ht="15.75" x14ac:dyDescent="0.25">
      <c r="D328" s="67" t="s">
        <v>60</v>
      </c>
    </row>
    <row r="329" spans="4:4" ht="15.75" x14ac:dyDescent="0.25">
      <c r="D329" s="67" t="s">
        <v>63</v>
      </c>
    </row>
    <row r="330" spans="4:4" ht="15.75" x14ac:dyDescent="0.25">
      <c r="D330" s="67" t="s">
        <v>65</v>
      </c>
    </row>
    <row r="331" spans="4:4" ht="15.75" x14ac:dyDescent="0.25">
      <c r="D331" s="67" t="s">
        <v>111</v>
      </c>
    </row>
    <row r="332" spans="4:4" ht="15.75" x14ac:dyDescent="0.25">
      <c r="D332" s="67" t="s">
        <v>67</v>
      </c>
    </row>
    <row r="333" spans="4:4" ht="15.75" x14ac:dyDescent="0.25">
      <c r="D333" s="67" t="s">
        <v>164</v>
      </c>
    </row>
    <row r="334" spans="4:4" ht="15.75" x14ac:dyDescent="0.25">
      <c r="D334" s="67" t="s">
        <v>110</v>
      </c>
    </row>
    <row r="335" spans="4:4" ht="15.75" x14ac:dyDescent="0.25">
      <c r="D335" s="67" t="s">
        <v>165</v>
      </c>
    </row>
    <row r="336" spans="4:4" ht="15.75" x14ac:dyDescent="0.25">
      <c r="D336" s="67" t="s">
        <v>109</v>
      </c>
    </row>
    <row r="337" spans="4:4" ht="15.75" x14ac:dyDescent="0.25">
      <c r="D337" s="67" t="s">
        <v>61</v>
      </c>
    </row>
    <row r="338" spans="4:4" ht="15.75" x14ac:dyDescent="0.25">
      <c r="D338" s="71" t="s">
        <v>62</v>
      </c>
    </row>
    <row r="339" spans="4:4" ht="15.75" x14ac:dyDescent="0.25">
      <c r="D339" s="71" t="s">
        <v>167</v>
      </c>
    </row>
    <row r="340" spans="4:4" ht="15.75" x14ac:dyDescent="0.25">
      <c r="D340" s="71" t="s">
        <v>166</v>
      </c>
    </row>
    <row r="341" spans="4:4" ht="15.75" x14ac:dyDescent="0.25">
      <c r="D341" s="71" t="s">
        <v>68</v>
      </c>
    </row>
  </sheetData>
  <sheetProtection algorithmName="SHA-512" hashValue="25DJR56dNvfP3JeyciuAQteCzTIRQ1aX7RECdzcmj3WqwQMJuGh0xyOFaZYTV38x59/cmA+/GbiRJHu0mEDSRg==" saltValue="yXqigEw+Wwy3QA85CFKirA==" spinCount="100000" sheet="1" objects="1" scenarios="1" selectLockedCells="1"/>
  <pageMargins left="0.7" right="0.7" top="0.78740157499999996" bottom="0.78740157499999996" header="0.3" footer="0.3"/>
  <tableParts count="32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A17"/>
  <sheetViews>
    <sheetView workbookViewId="0">
      <selection activeCell="A22" sqref="A22"/>
    </sheetView>
  </sheetViews>
  <sheetFormatPr baseColWidth="10" defaultRowHeight="15" x14ac:dyDescent="0.25"/>
  <sheetData>
    <row r="1" spans="1:1" x14ac:dyDescent="0.25">
      <c r="A1">
        <v>15</v>
      </c>
    </row>
    <row r="2" spans="1:1" x14ac:dyDescent="0.25">
      <c r="A2">
        <v>14</v>
      </c>
    </row>
    <row r="3" spans="1:1" x14ac:dyDescent="0.25">
      <c r="A3" s="69">
        <v>13</v>
      </c>
    </row>
    <row r="4" spans="1:1" x14ac:dyDescent="0.25">
      <c r="A4" s="69">
        <v>12</v>
      </c>
    </row>
    <row r="5" spans="1:1" x14ac:dyDescent="0.25">
      <c r="A5" s="69">
        <v>11</v>
      </c>
    </row>
    <row r="6" spans="1:1" x14ac:dyDescent="0.25">
      <c r="A6" s="69">
        <v>10</v>
      </c>
    </row>
    <row r="7" spans="1:1" x14ac:dyDescent="0.25">
      <c r="A7" s="69">
        <v>9</v>
      </c>
    </row>
    <row r="8" spans="1:1" x14ac:dyDescent="0.25">
      <c r="A8" s="69">
        <v>8</v>
      </c>
    </row>
    <row r="9" spans="1:1" x14ac:dyDescent="0.25">
      <c r="A9" s="69">
        <v>7</v>
      </c>
    </row>
    <row r="10" spans="1:1" x14ac:dyDescent="0.25">
      <c r="A10" s="69">
        <v>6</v>
      </c>
    </row>
    <row r="11" spans="1:1" x14ac:dyDescent="0.25">
      <c r="A11" s="69">
        <v>5</v>
      </c>
    </row>
    <row r="12" spans="1:1" x14ac:dyDescent="0.25">
      <c r="A12" s="69">
        <v>4</v>
      </c>
    </row>
    <row r="13" spans="1:1" x14ac:dyDescent="0.25">
      <c r="A13" s="69">
        <v>3</v>
      </c>
    </row>
    <row r="14" spans="1:1" x14ac:dyDescent="0.25">
      <c r="A14" s="69">
        <v>2</v>
      </c>
    </row>
    <row r="15" spans="1:1" x14ac:dyDescent="0.25">
      <c r="A15" s="69">
        <v>1</v>
      </c>
    </row>
    <row r="16" spans="1:1" x14ac:dyDescent="0.25">
      <c r="A16" s="69">
        <v>0</v>
      </c>
    </row>
    <row r="17" spans="1:1" x14ac:dyDescent="0.25">
      <c r="A17" t="s">
        <v>175</v>
      </c>
    </row>
  </sheetData>
  <sheetProtection algorithmName="SHA-512" hashValue="DaedeeobNbG3agSH36zr6167BIx35RULk3y3jmpwegspWewPn++Ajf9POp5c/j5fekK9i7TSDdpMFXaQpn+ANw==" saltValue="cKSTl64n7mD0cflCkmzur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Start</vt:lpstr>
      <vt:lpstr>Streichvorschlag</vt:lpstr>
      <vt:lpstr>390_Punkte</vt:lpstr>
      <vt:lpstr>420_Punkte_mE</vt:lpstr>
      <vt:lpstr>Noten</vt:lpstr>
      <vt:lpstr>Dropdownlisten</vt:lpstr>
      <vt:lpstr>WPF</vt:lpstr>
      <vt:lpstr>Punkteliste</vt:lpstr>
      <vt:lpstr>Streichvorschlag!Druckbereich</vt:lpstr>
    </vt:vector>
  </TitlesOfParts>
  <Company>Landratsamt Traunstein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Schönberger, Bernd</dc:creator>
  <cp:lastModifiedBy>Bernd Schönberger</cp:lastModifiedBy>
  <cp:lastPrinted>2019-12-06T10:13:14Z</cp:lastPrinted>
  <dcterms:created xsi:type="dcterms:W3CDTF">2018-04-11T05:19:11Z</dcterms:created>
  <dcterms:modified xsi:type="dcterms:W3CDTF">2023-11-01T13:39:42Z</dcterms:modified>
</cp:coreProperties>
</file>